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https://nysemail-my.sharepoint.com/personal/emily_deporto_omh_ny_gov/Documents/Documents/CPAR Redesign/CPAR Executive Clearance Package/"/>
    </mc:Choice>
  </mc:AlternateContent>
  <xr:revisionPtr revIDLastSave="64" documentId="8_{A955045D-8977-45B1-A1A0-F585F958F4A4}" xr6:coauthVersionLast="47" xr6:coauthVersionMax="47" xr10:uidLastSave="{DD32D993-8742-4CE8-A1B5-F4B848D0205C}"/>
  <bookViews>
    <workbookView xWindow="-28920" yWindow="-4350" windowWidth="29040" windowHeight="15840" xr2:uid="{00000000-000D-0000-FFFF-FFFF00000000}"/>
  </bookViews>
  <sheets>
    <sheet name="Disclaimer" sheetId="7" r:id="rId1"/>
    <sheet name="Units by %" sheetId="6" r:id="rId2"/>
    <sheet name="Revenue Calculator" sheetId="3" r:id="rId3"/>
    <sheet name="Expense Calculator and Summary" sheetId="4" r:id="rId4"/>
    <sheet name="Available to work calculato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5" l="1"/>
  <c r="D12" i="5"/>
  <c r="D11" i="5"/>
  <c r="D10" i="5"/>
  <c r="D9" i="5"/>
  <c r="D8" i="5"/>
  <c r="D7" i="5"/>
  <c r="C7" i="5"/>
  <c r="C13" i="5" s="1"/>
  <c r="D47" i="6"/>
  <c r="D13" i="5" l="1"/>
  <c r="D17" i="5"/>
  <c r="E13" i="5"/>
  <c r="J57" i="3"/>
  <c r="K13" i="4" l="1"/>
  <c r="I13" i="4"/>
  <c r="H13" i="4"/>
  <c r="J13" i="4" s="1"/>
  <c r="G13" i="4"/>
  <c r="K14" i="4"/>
  <c r="I14" i="4"/>
  <c r="H14" i="4"/>
  <c r="J14" i="4" s="1"/>
  <c r="G14" i="4"/>
  <c r="K12" i="4"/>
  <c r="I12" i="4"/>
  <c r="H12" i="4"/>
  <c r="J12" i="4" s="1"/>
  <c r="G12" i="4"/>
  <c r="G11" i="4"/>
  <c r="I57" i="3"/>
  <c r="O21" i="5"/>
  <c r="O12" i="5"/>
  <c r="O11" i="5"/>
  <c r="O10" i="5"/>
  <c r="O9" i="5"/>
  <c r="O8" i="5"/>
  <c r="O7" i="5"/>
  <c r="N7" i="5"/>
  <c r="N13" i="5" s="1"/>
  <c r="J21" i="5"/>
  <c r="J12" i="5"/>
  <c r="J11" i="5"/>
  <c r="J10" i="5"/>
  <c r="J9" i="5"/>
  <c r="J8" i="5"/>
  <c r="J7" i="5"/>
  <c r="I7" i="5"/>
  <c r="I13" i="5" s="1"/>
  <c r="J17" i="5" s="1"/>
  <c r="O17" i="5" l="1"/>
  <c r="P13" i="5"/>
  <c r="K13" i="5"/>
  <c r="J13" i="5"/>
  <c r="O13" i="5"/>
  <c r="C37" i="4" l="1"/>
  <c r="G10" i="4" l="1"/>
  <c r="G9" i="4"/>
  <c r="G8" i="4"/>
  <c r="G7" i="4"/>
  <c r="G6" i="4"/>
  <c r="F26" i="4"/>
  <c r="F33" i="4"/>
  <c r="F28" i="4"/>
  <c r="F27" i="4"/>
  <c r="K11" i="4"/>
  <c r="I11" i="4"/>
  <c r="H11" i="4"/>
  <c r="J11" i="4" s="1"/>
  <c r="H10" i="4"/>
  <c r="J10" i="4" s="1"/>
  <c r="H9" i="4"/>
  <c r="I9" i="4" s="1"/>
  <c r="K9" i="4" s="1"/>
  <c r="H8" i="4"/>
  <c r="J8" i="4" s="1"/>
  <c r="H7" i="4"/>
  <c r="J7" i="4" s="1"/>
  <c r="H6" i="4"/>
  <c r="J6" i="4" s="1"/>
  <c r="C8" i="3"/>
  <c r="G5" i="4" l="1"/>
  <c r="I7" i="4"/>
  <c r="K7" i="4" s="1"/>
  <c r="J9" i="4"/>
  <c r="J5" i="4" s="1"/>
  <c r="I6" i="4"/>
  <c r="I8" i="4"/>
  <c r="K8" i="4" s="1"/>
  <c r="I10" i="4"/>
  <c r="K10" i="4" s="1"/>
  <c r="H5" i="4"/>
  <c r="N57" i="3"/>
  <c r="M57" i="3"/>
  <c r="L57" i="3"/>
  <c r="H57" i="3"/>
  <c r="E33" i="3"/>
  <c r="E31" i="3"/>
  <c r="E13" i="3"/>
  <c r="E30" i="6" l="1"/>
  <c r="F39" i="3" s="1"/>
  <c r="G39" i="3" s="1"/>
  <c r="E45" i="6"/>
  <c r="F54" i="3" s="1"/>
  <c r="G54" i="3" s="1"/>
  <c r="E41" i="6"/>
  <c r="F50" i="3" s="1"/>
  <c r="G50" i="3" s="1"/>
  <c r="O50" i="3" s="1"/>
  <c r="E37" i="6"/>
  <c r="F46" i="3" s="1"/>
  <c r="G46" i="3" s="1"/>
  <c r="O46" i="3" s="1"/>
  <c r="E33" i="6"/>
  <c r="F42" i="3" s="1"/>
  <c r="G42" i="3" s="1"/>
  <c r="O42" i="3" s="1"/>
  <c r="E29" i="6"/>
  <c r="F38" i="3" s="1"/>
  <c r="G38" i="3" s="1"/>
  <c r="Q38" i="3" s="1"/>
  <c r="E25" i="6"/>
  <c r="F34" i="3" s="1"/>
  <c r="G34" i="3" s="1"/>
  <c r="O34" i="3" s="1"/>
  <c r="E21" i="6"/>
  <c r="F30" i="3" s="1"/>
  <c r="G30" i="3" s="1"/>
  <c r="E17" i="6"/>
  <c r="F26" i="3" s="1"/>
  <c r="G26" i="3" s="1"/>
  <c r="Q26" i="3" s="1"/>
  <c r="E13" i="6"/>
  <c r="F22" i="3" s="1"/>
  <c r="G22" i="3" s="1"/>
  <c r="Q22" i="3" s="1"/>
  <c r="E9" i="6"/>
  <c r="F18" i="3" s="1"/>
  <c r="G18" i="3" s="1"/>
  <c r="O18" i="3" s="1"/>
  <c r="E5" i="6"/>
  <c r="F14" i="3" s="1"/>
  <c r="G14" i="3" s="1"/>
  <c r="T14" i="3" s="1"/>
  <c r="E44" i="6"/>
  <c r="F53" i="3" s="1"/>
  <c r="G53" i="3" s="1"/>
  <c r="O53" i="3" s="1"/>
  <c r="Y53" i="3" s="1"/>
  <c r="E40" i="6"/>
  <c r="F49" i="3" s="1"/>
  <c r="G49" i="3" s="1"/>
  <c r="O49" i="3" s="1"/>
  <c r="E36" i="6"/>
  <c r="F45" i="3" s="1"/>
  <c r="G45" i="3" s="1"/>
  <c r="E32" i="6"/>
  <c r="F41" i="3" s="1"/>
  <c r="G41" i="3" s="1"/>
  <c r="O41" i="3" s="1"/>
  <c r="E24" i="6"/>
  <c r="F33" i="3" s="1"/>
  <c r="G33" i="3" s="1"/>
  <c r="Q33" i="3" s="1"/>
  <c r="E20" i="6"/>
  <c r="F29" i="3" s="1"/>
  <c r="G29" i="3" s="1"/>
  <c r="V29" i="3" s="1"/>
  <c r="E16" i="6"/>
  <c r="F25" i="3" s="1"/>
  <c r="G25" i="3" s="1"/>
  <c r="V25" i="3" s="1"/>
  <c r="E12" i="6"/>
  <c r="F21" i="3" s="1"/>
  <c r="G21" i="3" s="1"/>
  <c r="O21" i="3" s="1"/>
  <c r="E8" i="6"/>
  <c r="F17" i="3" s="1"/>
  <c r="G17" i="3" s="1"/>
  <c r="U17" i="3" s="1"/>
  <c r="E28" i="6"/>
  <c r="F37" i="3" s="1"/>
  <c r="G37" i="3" s="1"/>
  <c r="O37" i="3" s="1"/>
  <c r="E43" i="6"/>
  <c r="F52" i="3" s="1"/>
  <c r="G52" i="3" s="1"/>
  <c r="O52" i="3" s="1"/>
  <c r="E39" i="6"/>
  <c r="F48" i="3" s="1"/>
  <c r="G48" i="3" s="1"/>
  <c r="E35" i="6"/>
  <c r="F44" i="3" s="1"/>
  <c r="G44" i="3" s="1"/>
  <c r="O44" i="3" s="1"/>
  <c r="E31" i="6"/>
  <c r="F40" i="3" s="1"/>
  <c r="G40" i="3" s="1"/>
  <c r="E27" i="6"/>
  <c r="F36" i="3" s="1"/>
  <c r="G36" i="3" s="1"/>
  <c r="O36" i="3" s="1"/>
  <c r="E23" i="6"/>
  <c r="F32" i="3" s="1"/>
  <c r="G32" i="3" s="1"/>
  <c r="O32" i="3" s="1"/>
  <c r="E19" i="6"/>
  <c r="F28" i="3" s="1"/>
  <c r="G28" i="3" s="1"/>
  <c r="Q28" i="3" s="1"/>
  <c r="E15" i="6"/>
  <c r="F24" i="3" s="1"/>
  <c r="G24" i="3" s="1"/>
  <c r="T24" i="3" s="1"/>
  <c r="E11" i="6"/>
  <c r="F20" i="3" s="1"/>
  <c r="G20" i="3" s="1"/>
  <c r="O20" i="3" s="1"/>
  <c r="E7" i="6"/>
  <c r="F16" i="3" s="1"/>
  <c r="G16" i="3" s="1"/>
  <c r="T16" i="3" s="1"/>
  <c r="E3" i="6"/>
  <c r="F12" i="3" s="1"/>
  <c r="E46" i="6"/>
  <c r="F55" i="3" s="1"/>
  <c r="G55" i="3" s="1"/>
  <c r="O55" i="3" s="1"/>
  <c r="E42" i="6"/>
  <c r="F51" i="3" s="1"/>
  <c r="G51" i="3" s="1"/>
  <c r="O51" i="3" s="1"/>
  <c r="E38" i="6"/>
  <c r="F47" i="3" s="1"/>
  <c r="G47" i="3" s="1"/>
  <c r="O47" i="3" s="1"/>
  <c r="E34" i="6"/>
  <c r="F43" i="3" s="1"/>
  <c r="G43" i="3" s="1"/>
  <c r="O43" i="3" s="1"/>
  <c r="E26" i="6"/>
  <c r="F35" i="3" s="1"/>
  <c r="G35" i="3" s="1"/>
  <c r="Q35" i="3" s="1"/>
  <c r="E22" i="6"/>
  <c r="F31" i="3" s="1"/>
  <c r="G31" i="3" s="1"/>
  <c r="Q31" i="3" s="1"/>
  <c r="E18" i="6"/>
  <c r="F27" i="3" s="1"/>
  <c r="G27" i="3" s="1"/>
  <c r="O27" i="3" s="1"/>
  <c r="E14" i="6"/>
  <c r="F23" i="3" s="1"/>
  <c r="G23" i="3" s="1"/>
  <c r="O23" i="3" s="1"/>
  <c r="Y23" i="3" s="1"/>
  <c r="AC23" i="3" s="1"/>
  <c r="E10" i="6"/>
  <c r="F19" i="3" s="1"/>
  <c r="G19" i="3" s="1"/>
  <c r="Q19" i="3" s="1"/>
  <c r="E6" i="6"/>
  <c r="F15" i="3" s="1"/>
  <c r="G15" i="3" s="1"/>
  <c r="O15" i="3" s="1"/>
  <c r="E4" i="6"/>
  <c r="F13" i="3" s="1"/>
  <c r="G13" i="3" s="1"/>
  <c r="T13" i="3" s="1"/>
  <c r="F10" i="3"/>
  <c r="K6" i="4"/>
  <c r="K5" i="4" s="1"/>
  <c r="I5" i="4"/>
  <c r="J9" i="3"/>
  <c r="O25" i="3" l="1"/>
  <c r="Q39" i="3"/>
  <c r="O39" i="3"/>
  <c r="Q34" i="3"/>
  <c r="O40" i="3"/>
  <c r="Q40" i="3"/>
  <c r="Q36" i="3"/>
  <c r="U19" i="3"/>
  <c r="O19" i="3"/>
  <c r="V30" i="3"/>
  <c r="Q30" i="3"/>
  <c r="U25" i="3"/>
  <c r="U14" i="3"/>
  <c r="V13" i="3"/>
  <c r="Q25" i="3"/>
  <c r="U15" i="3"/>
  <c r="O35" i="3"/>
  <c r="Q41" i="3"/>
  <c r="Q15" i="3"/>
  <c r="O29" i="3"/>
  <c r="Q20" i="3"/>
  <c r="Q17" i="3"/>
  <c r="U13" i="3"/>
  <c r="Q13" i="3"/>
  <c r="U28" i="3"/>
  <c r="O28" i="3"/>
  <c r="O33" i="3"/>
  <c r="V28" i="3"/>
  <c r="U24" i="3"/>
  <c r="V26" i="3"/>
  <c r="Q43" i="3"/>
  <c r="V31" i="3"/>
  <c r="Q37" i="3"/>
  <c r="S31" i="3"/>
  <c r="O26" i="3"/>
  <c r="O31" i="3"/>
  <c r="U26" i="3"/>
  <c r="O17" i="3"/>
  <c r="O24" i="3"/>
  <c r="U16" i="3"/>
  <c r="Q29" i="3"/>
  <c r="Q42" i="3"/>
  <c r="Q27" i="3"/>
  <c r="O13" i="3"/>
  <c r="K27" i="3"/>
  <c r="T27" i="3" s="1"/>
  <c r="R27" i="3"/>
  <c r="T44" i="3"/>
  <c r="U44" i="3"/>
  <c r="R29" i="3"/>
  <c r="T29" i="3"/>
  <c r="U29" i="3"/>
  <c r="U45" i="3"/>
  <c r="T45" i="3"/>
  <c r="G12" i="3"/>
  <c r="S12" i="3" s="1"/>
  <c r="F57" i="3"/>
  <c r="U48" i="3"/>
  <c r="T48" i="3"/>
  <c r="R22" i="3"/>
  <c r="T22" i="3"/>
  <c r="R38" i="3"/>
  <c r="T38" i="3"/>
  <c r="U38" i="3"/>
  <c r="U54" i="3"/>
  <c r="T54" i="3"/>
  <c r="U22" i="3"/>
  <c r="U27" i="3"/>
  <c r="O14" i="3"/>
  <c r="O30" i="3"/>
  <c r="O16" i="3"/>
  <c r="O48" i="3"/>
  <c r="T55" i="3"/>
  <c r="U55" i="3"/>
  <c r="U35" i="3"/>
  <c r="R35" i="3"/>
  <c r="T35" i="3"/>
  <c r="T33" i="3"/>
  <c r="U33" i="3"/>
  <c r="U49" i="3"/>
  <c r="T49" i="3"/>
  <c r="U31" i="3"/>
  <c r="T31" i="3"/>
  <c r="R20" i="3"/>
  <c r="U20" i="3"/>
  <c r="T20" i="3"/>
  <c r="R17" i="3"/>
  <c r="T17" i="3"/>
  <c r="K26" i="3"/>
  <c r="T26" i="3" s="1"/>
  <c r="R26" i="3"/>
  <c r="T42" i="3"/>
  <c r="U42" i="3"/>
  <c r="R42" i="3"/>
  <c r="R13" i="3"/>
  <c r="T46" i="3"/>
  <c r="U46" i="3"/>
  <c r="R33" i="3"/>
  <c r="U52" i="3"/>
  <c r="T52" i="3"/>
  <c r="R43" i="3"/>
  <c r="U43" i="3"/>
  <c r="T43" i="3"/>
  <c r="R32" i="3"/>
  <c r="T32" i="3"/>
  <c r="U32" i="3"/>
  <c r="R21" i="3"/>
  <c r="U21" i="3"/>
  <c r="T21" i="3"/>
  <c r="T37" i="3"/>
  <c r="R37" i="3"/>
  <c r="U37" i="3"/>
  <c r="R39" i="3"/>
  <c r="U39" i="3"/>
  <c r="T39" i="3"/>
  <c r="K28" i="3"/>
  <c r="T28" i="3" s="1"/>
  <c r="R28" i="3"/>
  <c r="T30" i="3"/>
  <c r="U30" i="3"/>
  <c r="R30" i="3"/>
  <c r="Q32" i="3"/>
  <c r="O45" i="3"/>
  <c r="O22" i="3"/>
  <c r="O38" i="3"/>
  <c r="O54" i="3"/>
  <c r="Q21" i="3"/>
  <c r="V27" i="3"/>
  <c r="K19" i="3"/>
  <c r="T19" i="3" s="1"/>
  <c r="R19" i="3"/>
  <c r="U51" i="3"/>
  <c r="T51" i="3"/>
  <c r="U40" i="3"/>
  <c r="R40" i="3"/>
  <c r="T40" i="3"/>
  <c r="K25" i="3"/>
  <c r="T25" i="3" s="1"/>
  <c r="R25" i="3"/>
  <c r="T41" i="3"/>
  <c r="U41" i="3"/>
  <c r="R41" i="3"/>
  <c r="R15" i="3"/>
  <c r="T15" i="3"/>
  <c r="U47" i="3"/>
  <c r="T47" i="3"/>
  <c r="T36" i="3"/>
  <c r="U36" i="3"/>
  <c r="R36" i="3"/>
  <c r="U18" i="3"/>
  <c r="T18" i="3"/>
  <c r="U34" i="3"/>
  <c r="R34" i="3"/>
  <c r="T34" i="3"/>
  <c r="U50" i="3"/>
  <c r="T50" i="3"/>
  <c r="R31" i="3"/>
  <c r="E47" i="6"/>
  <c r="F24" i="4"/>
  <c r="F25" i="4" s="1"/>
  <c r="F29" i="4" s="1"/>
  <c r="F30" i="4" s="1"/>
  <c r="AB53" i="3"/>
  <c r="AC53" i="3" s="1"/>
  <c r="AB49" i="3"/>
  <c r="AB47" i="3"/>
  <c r="AB48" i="3"/>
  <c r="S21" i="3"/>
  <c r="S41" i="3"/>
  <c r="S24" i="3"/>
  <c r="S32" i="3"/>
  <c r="S34" i="3"/>
  <c r="S22" i="3"/>
  <c r="S29" i="3"/>
  <c r="S43" i="3"/>
  <c r="S25" i="3"/>
  <c r="S40" i="3"/>
  <c r="S13" i="3"/>
  <c r="S33" i="3"/>
  <c r="S38" i="3"/>
  <c r="S42" i="3"/>
  <c r="S28" i="3"/>
  <c r="S27" i="3"/>
  <c r="S14" i="3"/>
  <c r="S18" i="3"/>
  <c r="S39" i="3"/>
  <c r="S35" i="3"/>
  <c r="S37" i="3"/>
  <c r="S30" i="3"/>
  <c r="S15" i="3"/>
  <c r="S26" i="3"/>
  <c r="S20" i="3"/>
  <c r="S17" i="3"/>
  <c r="S36" i="3"/>
  <c r="S19" i="3"/>
  <c r="S16" i="3"/>
  <c r="W14" i="3" l="1"/>
  <c r="Y14" i="3" s="1"/>
  <c r="AB14" i="3" s="1"/>
  <c r="W24" i="3"/>
  <c r="Y24" i="3" s="1"/>
  <c r="W22" i="3"/>
  <c r="Y22" i="3" s="1"/>
  <c r="W17" i="3"/>
  <c r="Y17" i="3" s="1"/>
  <c r="W19" i="3"/>
  <c r="W40" i="3"/>
  <c r="Y40" i="3" s="1"/>
  <c r="W49" i="3"/>
  <c r="Y49" i="3" s="1"/>
  <c r="AC49" i="3" s="1"/>
  <c r="W41" i="3"/>
  <c r="Y41" i="3" s="1"/>
  <c r="W16" i="3"/>
  <c r="Y16" i="3" s="1"/>
  <c r="W38" i="3"/>
  <c r="Y38" i="3" s="1"/>
  <c r="W25" i="3"/>
  <c r="Y25" i="3" s="1"/>
  <c r="AB25" i="3" s="1"/>
  <c r="AC25" i="3" s="1"/>
  <c r="W50" i="3"/>
  <c r="Y50" i="3" s="1"/>
  <c r="W35" i="3"/>
  <c r="Y35" i="3" s="1"/>
  <c r="W27" i="3"/>
  <c r="Y27" i="3" s="1"/>
  <c r="W52" i="3"/>
  <c r="Y52" i="3" s="1"/>
  <c r="W54" i="3"/>
  <c r="Y54" i="3" s="1"/>
  <c r="W44" i="3"/>
  <c r="Y44" i="3" s="1"/>
  <c r="W26" i="3"/>
  <c r="Y26" i="3" s="1"/>
  <c r="AB26" i="3" s="1"/>
  <c r="AC26" i="3" s="1"/>
  <c r="W31" i="3"/>
  <c r="Y31" i="3" s="1"/>
  <c r="W47" i="3"/>
  <c r="Y47" i="3" s="1"/>
  <c r="AC47" i="3" s="1"/>
  <c r="W51" i="3"/>
  <c r="Y51" i="3" s="1"/>
  <c r="W36" i="3"/>
  <c r="Y36" i="3" s="1"/>
  <c r="W15" i="3"/>
  <c r="Y15" i="3" s="1"/>
  <c r="AC15" i="3" s="1"/>
  <c r="W33" i="3"/>
  <c r="Y33" i="3" s="1"/>
  <c r="W34" i="3"/>
  <c r="Y34" i="3" s="1"/>
  <c r="W39" i="3"/>
  <c r="Y39" i="3" s="1"/>
  <c r="W28" i="3"/>
  <c r="Y28" i="3" s="1"/>
  <c r="W43" i="3"/>
  <c r="Y43" i="3" s="1"/>
  <c r="W32" i="3"/>
  <c r="Y32" i="3" s="1"/>
  <c r="F38" i="4"/>
  <c r="G57" i="3"/>
  <c r="K20" i="4" s="1"/>
  <c r="R12" i="3"/>
  <c r="R57" i="3" s="1"/>
  <c r="V12" i="3"/>
  <c r="V57" i="3" s="1"/>
  <c r="K12" i="3"/>
  <c r="U12" i="3"/>
  <c r="U57" i="3" s="1"/>
  <c r="Q12" i="3"/>
  <c r="Q57" i="3" s="1"/>
  <c r="O12" i="3"/>
  <c r="O57" i="3" s="1"/>
  <c r="W21" i="3"/>
  <c r="Y21" i="3" s="1"/>
  <c r="AC21" i="3" s="1"/>
  <c r="W55" i="3"/>
  <c r="Y55" i="3" s="1"/>
  <c r="K23" i="4"/>
  <c r="L23" i="4" s="1"/>
  <c r="K24" i="4"/>
  <c r="L24" i="4" s="1"/>
  <c r="K21" i="4"/>
  <c r="L21" i="4" s="1"/>
  <c r="K22" i="4"/>
  <c r="L22" i="4" s="1"/>
  <c r="W30" i="3"/>
  <c r="Y30" i="3" s="1"/>
  <c r="W20" i="3"/>
  <c r="Y20" i="3" s="1"/>
  <c r="W37" i="3"/>
  <c r="Y37" i="3" s="1"/>
  <c r="W18" i="3"/>
  <c r="Y18" i="3" s="1"/>
  <c r="W42" i="3"/>
  <c r="Y42" i="3" s="1"/>
  <c r="W13" i="3"/>
  <c r="Y13" i="3" s="1"/>
  <c r="AB13" i="3" s="1"/>
  <c r="AC13" i="3" s="1"/>
  <c r="W29" i="3"/>
  <c r="Y29" i="3" s="1"/>
  <c r="W46" i="3"/>
  <c r="Y46" i="3" s="1"/>
  <c r="W48" i="3"/>
  <c r="Y48" i="3" s="1"/>
  <c r="AC48" i="3" s="1"/>
  <c r="W45" i="3"/>
  <c r="Y45" i="3" s="1"/>
  <c r="AB45" i="3" s="1"/>
  <c r="AB24" i="3"/>
  <c r="AB44" i="3"/>
  <c r="AB40" i="3"/>
  <c r="AB46" i="3"/>
  <c r="AB42" i="3"/>
  <c r="AB51" i="3"/>
  <c r="AB55" i="3"/>
  <c r="AB43" i="3"/>
  <c r="AB18" i="3"/>
  <c r="AB29" i="3"/>
  <c r="AB38" i="3"/>
  <c r="AB52" i="3"/>
  <c r="AB50" i="3"/>
  <c r="AB33" i="3"/>
  <c r="AB54" i="3"/>
  <c r="Y19" i="3"/>
  <c r="S57" i="3"/>
  <c r="AC38" i="3" l="1"/>
  <c r="AC50" i="3"/>
  <c r="AC18" i="3"/>
  <c r="AC43" i="3"/>
  <c r="AC40" i="3"/>
  <c r="AC44" i="3"/>
  <c r="AC51" i="3"/>
  <c r="AC52" i="3"/>
  <c r="AC42" i="3"/>
  <c r="AC54" i="3"/>
  <c r="AC24" i="3"/>
  <c r="AC29" i="3"/>
  <c r="AC55" i="3"/>
  <c r="AC45" i="3"/>
  <c r="AC46" i="3"/>
  <c r="K25" i="4"/>
  <c r="K57" i="3"/>
  <c r="T12" i="3"/>
  <c r="AC33" i="3"/>
  <c r="AB36" i="3"/>
  <c r="AC36" i="3" s="1"/>
  <c r="AB28" i="3"/>
  <c r="AC28" i="3" s="1"/>
  <c r="AB41" i="3"/>
  <c r="AC41" i="3" s="1"/>
  <c r="AB39" i="3"/>
  <c r="AC39" i="3" s="1"/>
  <c r="AB37" i="3"/>
  <c r="AC37" i="3" s="1"/>
  <c r="AB34" i="3"/>
  <c r="AC34" i="3" s="1"/>
  <c r="AB22" i="3"/>
  <c r="AC22" i="3" s="1"/>
  <c r="AB35" i="3"/>
  <c r="AC35" i="3" s="1"/>
  <c r="AB30" i="3"/>
  <c r="AC30" i="3" s="1"/>
  <c r="AB32" i="3"/>
  <c r="AC32" i="3" s="1"/>
  <c r="AB20" i="3"/>
  <c r="AC20" i="3" s="1"/>
  <c r="AB31" i="3"/>
  <c r="AC31" i="3" s="1"/>
  <c r="AB19" i="3"/>
  <c r="AC19" i="3" s="1"/>
  <c r="AB17" i="3"/>
  <c r="AC17" i="3" s="1"/>
  <c r="AB27" i="3"/>
  <c r="AC27" i="3" s="1"/>
  <c r="AB16" i="3"/>
  <c r="AC16" i="3" s="1"/>
  <c r="AC14" i="3"/>
  <c r="T57" i="3" l="1"/>
  <c r="W12" i="3"/>
  <c r="Y12" i="3" l="1"/>
  <c r="W57" i="3"/>
  <c r="AB12" i="3" l="1"/>
  <c r="Y57" i="3"/>
  <c r="AC12" i="3" l="1"/>
  <c r="AC57" i="3" s="1"/>
  <c r="L20" i="4" s="1"/>
  <c r="L25" i="4" s="1"/>
  <c r="F32" i="4" s="1"/>
  <c r="F34" i="4" s="1"/>
  <c r="AB57" i="3"/>
  <c r="F40" i="4" l="1"/>
  <c r="F42" i="4" s="1"/>
  <c r="F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author>
    <author>James Monfort</author>
    <author>jmonfort</author>
    <author>Gwen Diamond</author>
  </authors>
  <commentList>
    <comment ref="AA8" authorId="0" shapeId="0" xr:uid="{041692E3-A3AA-4F4D-9BCC-A9DFB919C2E1}">
      <text>
        <r>
          <rPr>
            <b/>
            <sz val="9"/>
            <color indexed="81"/>
            <rFont val="Tahoma"/>
            <family val="2"/>
          </rPr>
          <t>The Multiple Same Day service  discount applies to all the lowest weighted same day service.</t>
        </r>
        <r>
          <rPr>
            <sz val="9"/>
            <color indexed="81"/>
            <rFont val="Tahoma"/>
            <family val="2"/>
          </rPr>
          <t xml:space="preserve">
</t>
        </r>
      </text>
    </comment>
    <comment ref="M9" authorId="0" shapeId="0" xr:uid="{4BB5F44A-F6A4-483B-981F-75AB0FE3E315}">
      <text>
        <r>
          <rPr>
            <b/>
            <sz val="9"/>
            <color indexed="81"/>
            <rFont val="Tahoma"/>
            <family val="2"/>
          </rPr>
          <t xml:space="preserve">Modifier % applied to Assessment and Individual Therapy services.  </t>
        </r>
      </text>
    </comment>
    <comment ref="Q9" authorId="0" shapeId="0" xr:uid="{339DFAE5-4518-4DDA-ADA8-A8BEE06BCC1D}">
      <text>
        <r>
          <rPr>
            <b/>
            <sz val="9"/>
            <color indexed="81"/>
            <rFont val="Tahoma"/>
            <family val="2"/>
          </rPr>
          <t>A 'mod error' message will appear if you enter a modifier value in columns K-N and no service value in column I.</t>
        </r>
        <r>
          <rPr>
            <sz val="9"/>
            <color indexed="81"/>
            <rFont val="Tahoma"/>
            <family val="2"/>
          </rPr>
          <t xml:space="preserve">
</t>
        </r>
      </text>
    </comment>
    <comment ref="M10" authorId="0" shapeId="0" xr:uid="{7C16AE2F-3434-460E-A322-E354ABC7FB36}">
      <text>
        <r>
          <rPr>
            <b/>
            <sz val="9"/>
            <color indexed="81"/>
            <rFont val="Tahoma"/>
            <family val="2"/>
          </rPr>
          <t>Modifier % applied to Group Therapy services for all Group attendees</t>
        </r>
        <r>
          <rPr>
            <sz val="9"/>
            <color indexed="81"/>
            <rFont val="Tahoma"/>
            <family val="2"/>
          </rPr>
          <t xml:space="preserve">
</t>
        </r>
      </text>
    </comment>
    <comment ref="C11" authorId="0" shapeId="0" xr:uid="{0DC6A56B-8E62-4746-B554-03A1BB33ECDC}">
      <text>
        <r>
          <rPr>
            <b/>
            <sz val="9"/>
            <color indexed="81"/>
            <rFont val="Tahoma"/>
            <family val="2"/>
          </rPr>
          <t>Comments reflect APG standard service description</t>
        </r>
        <r>
          <rPr>
            <sz val="9"/>
            <color indexed="81"/>
            <rFont val="Tahoma"/>
            <family val="2"/>
          </rPr>
          <t xml:space="preserve">
</t>
        </r>
      </text>
    </comment>
    <comment ref="J11" authorId="0" shapeId="0" xr:uid="{34116CBF-ADCF-4116-B88F-32C175F6B556}">
      <text>
        <r>
          <rPr>
            <b/>
            <sz val="9"/>
            <color rgb="FF000000"/>
            <rFont val="Tahoma"/>
            <family val="2"/>
          </rPr>
          <t xml:space="preserve">After hours = before 8 AM and after 6 PM.  Only 1 after-hours code per-client, per-day.
</t>
        </r>
        <r>
          <rPr>
            <sz val="9"/>
            <color rgb="FF000000"/>
            <rFont val="Tahoma"/>
            <family val="2"/>
          </rPr>
          <t xml:space="preserve">
</t>
        </r>
      </text>
    </comment>
    <comment ref="L11" authorId="1" shapeId="0" xr:uid="{FD9647E8-AC40-434C-A4BD-143761C807C5}">
      <text>
        <r>
          <rPr>
            <b/>
            <sz val="9"/>
            <color indexed="81"/>
            <rFont val="Tahoma"/>
            <family val="2"/>
          </rPr>
          <t xml:space="preserve">Off-site enhancement is billed using the applicable rate code.
Off-site Base Rate 
Freestanding 1507 
Hospital 1519 
IOS Off-site
Freestanding 1092
Hospital 1094
</t>
        </r>
      </text>
    </comment>
    <comment ref="M11" authorId="0" shapeId="0" xr:uid="{B0E71E1F-E3A3-444D-95CB-AE6EDB885DD3}">
      <text>
        <r>
          <rPr>
            <b/>
            <sz val="9"/>
            <color indexed="81"/>
            <rFont val="Tahoma"/>
            <family val="2"/>
          </rPr>
          <t>MD/NPP modifier adds 45% or 20% of applicable APG weight</t>
        </r>
        <r>
          <rPr>
            <sz val="9"/>
            <color indexed="81"/>
            <rFont val="Tahoma"/>
            <family val="2"/>
          </rPr>
          <t xml:space="preserve">
</t>
        </r>
      </text>
    </comment>
    <comment ref="Q11" authorId="2" shapeId="0" xr:uid="{29C055F2-253D-477B-874F-540289E0F099}">
      <text>
        <r>
          <rPr>
            <b/>
            <sz val="9"/>
            <color indexed="81"/>
            <rFont val="Tahoma"/>
            <family val="2"/>
          </rPr>
          <t>Language other than English</t>
        </r>
      </text>
    </comment>
    <comment ref="S11" authorId="0" shapeId="0" xr:uid="{6A5A9811-6D8F-4417-9F4E-B226104C457B}">
      <text>
        <r>
          <rPr>
            <b/>
            <sz val="9"/>
            <color indexed="81"/>
            <rFont val="Tahoma"/>
            <family val="2"/>
          </rPr>
          <t xml:space="preserve">After hours = before 8 AM and after 6 PM.  Only 1 after-hours code per-client, per-day.
</t>
        </r>
        <r>
          <rPr>
            <sz val="9"/>
            <color indexed="81"/>
            <rFont val="Tahoma"/>
            <family val="2"/>
          </rPr>
          <t xml:space="preserve">
</t>
        </r>
      </text>
    </comment>
    <comment ref="U11" authorId="1" shapeId="0" xr:uid="{01CFF068-44D8-4160-A7A5-09D2BC1ED21C}">
      <text>
        <r>
          <rPr>
            <b/>
            <sz val="9"/>
            <color indexed="81"/>
            <rFont val="Tahoma"/>
            <family val="2"/>
          </rPr>
          <t xml:space="preserve">Off-site enhancement is billed using the applicable rate code.
Off-site Base Rate 
Freestanding 1507 
Hospital 1519 
IOS Off-site
Freestanding 1092
Hospital 1094
</t>
        </r>
      </text>
    </comment>
    <comment ref="V11" authorId="0" shapeId="0" xr:uid="{1A58A063-E66F-4045-8434-29132F1E6101}">
      <text>
        <r>
          <rPr>
            <b/>
            <sz val="9"/>
            <color indexed="81"/>
            <rFont val="Tahoma"/>
            <family val="2"/>
          </rPr>
          <t>MD/NPP modifier adds 45% or 20% of applicable APG weight</t>
        </r>
        <r>
          <rPr>
            <sz val="9"/>
            <color indexed="81"/>
            <rFont val="Tahoma"/>
            <family val="2"/>
          </rPr>
          <t xml:space="preserve">
</t>
        </r>
      </text>
    </comment>
    <comment ref="AB11" authorId="0" shapeId="0" xr:uid="{D478A073-274F-494B-9AD5-93770AD3024E}">
      <text>
        <r>
          <rPr>
            <b/>
            <sz val="9"/>
            <color indexed="81"/>
            <rFont val="Tahoma"/>
            <family val="2"/>
          </rPr>
          <t>The Discount amount = the projected volume X the discount %.</t>
        </r>
        <r>
          <rPr>
            <sz val="9"/>
            <color indexed="81"/>
            <rFont val="Tahoma"/>
            <family val="2"/>
          </rPr>
          <t xml:space="preserve">
</t>
        </r>
      </text>
    </comment>
    <comment ref="C12" authorId="3" shapeId="0" xr:uid="{460EE5FF-8A8B-43A1-A847-4439002F342D}">
      <text>
        <r>
          <rPr>
            <b/>
            <sz val="9"/>
            <color indexed="81"/>
            <rFont val="Tahoma"/>
            <family val="2"/>
          </rPr>
          <t>Mental Hygiene Assessment</t>
        </r>
      </text>
    </comment>
    <comment ref="D12" authorId="0" shapeId="0" xr:uid="{B5B71C69-BCCF-4649-9A51-F6426B96B00E}">
      <text>
        <r>
          <rPr>
            <b/>
            <sz val="9"/>
            <color indexed="81"/>
            <rFont val="Tahoma"/>
            <family val="2"/>
          </rPr>
          <t>This service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D13" authorId="0" shapeId="0" xr:uid="{561BD976-710B-4F80-8718-BB879DE3EFD8}">
      <text>
        <r>
          <rPr>
            <b/>
            <sz val="9"/>
            <color indexed="81"/>
            <rFont val="Tahoma"/>
            <family val="2"/>
          </rPr>
          <t>This service must be provided by a physician or NPP. This code may not be claimed on the same day as an E&amp;M code. 45 minute minimum.</t>
        </r>
      </text>
    </comment>
    <comment ref="C14" authorId="3" shapeId="0" xr:uid="{13FC0022-354E-4DBE-9501-B112A4031D4D}">
      <text>
        <r>
          <rPr>
            <b/>
            <sz val="9"/>
            <color indexed="81"/>
            <rFont val="Tahoma"/>
            <family val="2"/>
          </rPr>
          <t>Counseling or Individual Brief Psychotherapy</t>
        </r>
      </text>
    </comment>
    <comment ref="D14" authorId="0" shapeId="0" xr:uid="{C61CC8BD-1161-4D3C-BFE5-36F6C142CDC3}">
      <text>
        <r>
          <rPr>
            <b/>
            <sz val="9"/>
            <color indexed="81"/>
            <rFont val="Tahoma"/>
            <family val="2"/>
          </rPr>
          <t>99201-99205 New Patient, 
99212-99215 Established Patient</t>
        </r>
        <r>
          <rPr>
            <sz val="9"/>
            <color indexed="81"/>
            <rFont val="Tahoma"/>
            <family val="2"/>
          </rPr>
          <t xml:space="preserve">
</t>
        </r>
      </text>
    </comment>
    <comment ref="E14" authorId="0" shapeId="0" xr:uid="{3483D59D-1C26-435F-9CEF-5970E10BF6D8}">
      <text>
        <r>
          <rPr>
            <b/>
            <sz val="9"/>
            <color indexed="81"/>
            <rFont val="Tahoma"/>
            <family val="2"/>
          </rPr>
          <t>Default weight value.  Use 'DX Wt' tab to calculate a custom weight for your clinic.</t>
        </r>
        <r>
          <rPr>
            <sz val="9"/>
            <color indexed="81"/>
            <rFont val="Tahoma"/>
            <family val="2"/>
          </rPr>
          <t xml:space="preserve">
</t>
        </r>
      </text>
    </comment>
    <comment ref="C16" authorId="3" shapeId="0" xr:uid="{1123451B-7BA4-4AF9-B33E-9F8A0EBD505E}">
      <text>
        <r>
          <rPr>
            <b/>
            <sz val="9"/>
            <color indexed="81"/>
            <rFont val="Tahoma"/>
            <family val="2"/>
          </rPr>
          <t>Individual Comprehensive Psychotherapy</t>
        </r>
      </text>
    </comment>
    <comment ref="D16" authorId="0" shapeId="0" xr:uid="{C1C516FF-0891-4A0E-A83C-87F46EBA729D}">
      <text>
        <r>
          <rPr>
            <b/>
            <sz val="9"/>
            <color indexed="81"/>
            <rFont val="Tahoma"/>
            <family val="2"/>
          </rPr>
          <t>99201-99205 New Patient, 
99212-99215 Established Patient</t>
        </r>
        <r>
          <rPr>
            <sz val="9"/>
            <color indexed="81"/>
            <rFont val="Tahoma"/>
            <family val="2"/>
          </rPr>
          <t xml:space="preserve">
</t>
        </r>
      </text>
    </comment>
    <comment ref="E16" authorId="0" shapeId="0" xr:uid="{5EEEB36D-420C-4609-9B43-7B324C6D67F0}">
      <text>
        <r>
          <rPr>
            <b/>
            <sz val="9"/>
            <color indexed="81"/>
            <rFont val="Tahoma"/>
            <family val="2"/>
          </rPr>
          <t>Default weight value.  Use 'DX Wt' tab to calculate a custom weight for your clinic.</t>
        </r>
        <r>
          <rPr>
            <sz val="9"/>
            <color indexed="81"/>
            <rFont val="Tahoma"/>
            <family val="2"/>
          </rPr>
          <t xml:space="preserve">
</t>
        </r>
      </text>
    </comment>
    <comment ref="B18" authorId="0" shapeId="0" xr:uid="{010FD803-0CC9-4C33-8F74-A367AEE1B157}">
      <text>
        <r>
          <rPr>
            <b/>
            <sz val="9"/>
            <color indexed="81"/>
            <rFont val="Tahoma"/>
            <family val="2"/>
          </rPr>
          <t>30 minute minimum for CPT codes 99201,99202,9203,99212,99213,99214</t>
        </r>
        <r>
          <rPr>
            <sz val="9"/>
            <color indexed="81"/>
            <rFont val="Tahoma"/>
            <family val="2"/>
          </rPr>
          <t xml:space="preserve">
</t>
        </r>
      </text>
    </comment>
    <comment ref="C18" authorId="0" shapeId="0" xr:uid="{707393DC-6AF4-452C-9139-B051105308D9}">
      <text>
        <r>
          <rPr>
            <b/>
            <sz val="9"/>
            <color indexed="81"/>
            <rFont val="Tahoma"/>
            <family val="2"/>
          </rPr>
          <t>APG is based on diagnosis (see descriptions for APG codes 820-831 on 'Consult Wt' tab)</t>
        </r>
        <r>
          <rPr>
            <sz val="9"/>
            <color indexed="81"/>
            <rFont val="Tahoma"/>
            <family val="2"/>
          </rPr>
          <t xml:space="preserve">
</t>
        </r>
      </text>
    </comment>
    <comment ref="D18" authorId="0" shapeId="0" xr:uid="{7B29D6ED-9DE3-428D-B8FA-3CF5BC50432F}">
      <text>
        <r>
          <rPr>
            <b/>
            <sz val="9"/>
            <color indexed="81"/>
            <rFont val="Tahoma"/>
            <family val="2"/>
          </rPr>
          <t>99201-99205 New Patient, 
99212-99215 Established Patient</t>
        </r>
        <r>
          <rPr>
            <sz val="9"/>
            <color indexed="81"/>
            <rFont val="Tahoma"/>
            <family val="2"/>
          </rPr>
          <t xml:space="preserve">
</t>
        </r>
      </text>
    </comment>
    <comment ref="E18" authorId="0" shapeId="0" xr:uid="{2DE41CFF-017B-4907-ADF6-E9BD95E82734}">
      <text>
        <r>
          <rPr>
            <b/>
            <sz val="9"/>
            <color indexed="81"/>
            <rFont val="Tahoma"/>
            <family val="2"/>
          </rPr>
          <t>Default weight value.  Use 'DX Wt' tab to calculate a custom weight for your clinic.</t>
        </r>
        <r>
          <rPr>
            <sz val="9"/>
            <color indexed="81"/>
            <rFont val="Tahoma"/>
            <family val="2"/>
          </rPr>
          <t xml:space="preserve">
</t>
        </r>
      </text>
    </comment>
    <comment ref="B19" authorId="2" shapeId="0" xr:uid="{8E365FA9-8F24-4D26-9F4F-D480038450E5}">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19" authorId="3" shapeId="0" xr:uid="{66B1BE3E-E5D6-4DE8-9AA2-AEF2528CD5F1}">
      <text>
        <r>
          <rPr>
            <b/>
            <sz val="9"/>
            <color indexed="81"/>
            <rFont val="Tahoma"/>
            <family val="2"/>
          </rPr>
          <t>Crisis Intervention</t>
        </r>
      </text>
    </comment>
    <comment ref="D19" authorId="2" shapeId="0" xr:uid="{C32119F8-F6C0-4E61-AD70-4CD7E80644E3}">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0" authorId="3" shapeId="0" xr:uid="{25019E35-A91E-421F-BF8D-4F6880AB8FF7}">
      <text>
        <r>
          <rPr>
            <b/>
            <sz val="9"/>
            <color indexed="81"/>
            <rFont val="Tahoma"/>
            <family val="2"/>
          </rPr>
          <t>Crisis Intervention</t>
        </r>
      </text>
    </comment>
    <comment ref="D20" authorId="2" shapeId="0" xr:uid="{BE25C73B-6228-42E6-944C-779EE7E7B44B}">
      <text>
        <r>
          <rPr>
            <b/>
            <sz val="9"/>
            <color indexed="81"/>
            <rFont val="Tahoma"/>
            <family val="2"/>
          </rPr>
          <t xml:space="preserve">Crisis intervention mental health services, per diem (1-3 hours). Requires a minimum of one hour of face-to-face contact by two or more clinicians.
</t>
        </r>
      </text>
    </comment>
    <comment ref="C21" authorId="3" shapeId="0" xr:uid="{FE967E55-3F07-4618-BCBD-98937D6FF8EE}">
      <text>
        <r>
          <rPr>
            <b/>
            <sz val="9"/>
            <color indexed="81"/>
            <rFont val="Tahoma"/>
            <family val="2"/>
          </rPr>
          <t>Full day partial hospitalization for mental illness</t>
        </r>
      </text>
    </comment>
    <comment ref="D21" authorId="2" shapeId="0" xr:uid="{D2B448E5-0832-447B-AA6F-E4CE50A6D23F}">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22" authorId="3" shapeId="0" xr:uid="{7A5FB34A-2BE0-4A44-BC8B-E67E50FFB11F}">
      <text>
        <r>
          <rPr>
            <b/>
            <sz val="9"/>
            <color indexed="81"/>
            <rFont val="Tahoma"/>
            <family val="2"/>
          </rPr>
          <t>Incidental to Medical, Significant Procedure or Therapy Visit</t>
        </r>
      </text>
    </comment>
    <comment ref="D22" authorId="2" shapeId="0" xr:uid="{8F537E69-8284-43C6-9760-0559883891E5}">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3" authorId="0" shapeId="0" xr:uid="{65C49FF5-482D-4056-8259-BC19E200F230}">
      <text>
        <r>
          <rPr>
            <b/>
            <sz val="9"/>
            <color indexed="81"/>
            <rFont val="Tahoma"/>
            <family val="2"/>
          </rPr>
          <t>Injection Only - Medicaid fee schedule claim, J Code if applicable, CPT 96372.
Payment for drug cost and $13.23 for Injection.
No modifiers available.
Note:  96372 is not a mental health carve-out service.</t>
        </r>
      </text>
    </comment>
    <comment ref="C24" authorId="3" shapeId="0" xr:uid="{80B375FB-8A8C-4F75-933C-E68994367562}">
      <text>
        <r>
          <rPr>
            <b/>
            <sz val="9"/>
            <color indexed="81"/>
            <rFont val="Tahoma"/>
            <family val="2"/>
          </rPr>
          <t>Psychotropic Medication Management</t>
        </r>
      </text>
    </comment>
    <comment ref="D24" authorId="0" shapeId="0" xr:uid="{70B193B7-B7DF-4DD2-912B-6C63CDA29FA8}">
      <text>
        <r>
          <rPr>
            <b/>
            <sz val="9"/>
            <color indexed="81"/>
            <rFont val="Tahoma"/>
            <family val="2"/>
          </rPr>
          <t>99201-99205 New Patient, 
99212-99215 Established Patient</t>
        </r>
        <r>
          <rPr>
            <sz val="9"/>
            <color indexed="81"/>
            <rFont val="Tahoma"/>
            <family val="2"/>
          </rPr>
          <t xml:space="preserve">
</t>
        </r>
      </text>
    </comment>
    <comment ref="E24" authorId="0" shapeId="0" xr:uid="{35A02EC2-E31A-4E70-B25C-DD9F9578E2C0}">
      <text>
        <r>
          <rPr>
            <b/>
            <sz val="9"/>
            <color indexed="81"/>
            <rFont val="Tahoma"/>
            <family val="2"/>
          </rPr>
          <t>Default weight value.  Use 'DX Wt' tab to calculate a custom weight for your clinic.</t>
        </r>
        <r>
          <rPr>
            <sz val="9"/>
            <color indexed="81"/>
            <rFont val="Tahoma"/>
            <family val="2"/>
          </rPr>
          <t xml:space="preserve">
</t>
        </r>
      </text>
    </comment>
    <comment ref="C25" authorId="3" shapeId="0" xr:uid="{13138B43-3E2F-4651-9CE4-964DBE6B33BD}">
      <text>
        <r>
          <rPr>
            <b/>
            <sz val="9"/>
            <color indexed="81"/>
            <rFont val="Tahoma"/>
            <family val="2"/>
          </rPr>
          <t>Counseling or individual brief psychotherapy</t>
        </r>
      </text>
    </comment>
    <comment ref="D25" authorId="2" shapeId="0" xr:uid="{50304810-49AD-41D0-979F-40C130B7F2E0}">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6" authorId="3" shapeId="0" xr:uid="{E63A55A8-BCC8-4215-818C-0D4DAB1AB619}">
      <text>
        <r>
          <rPr>
            <b/>
            <sz val="9"/>
            <color indexed="81"/>
            <rFont val="Tahoma"/>
            <family val="2"/>
          </rPr>
          <t>Individual Comprehensive Psychotherapy</t>
        </r>
      </text>
    </comment>
    <comment ref="D26" authorId="2" shapeId="0" xr:uid="{526D43D1-83F5-4CA2-A4F4-0C3CC927F08C}">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7" authorId="3" shapeId="0" xr:uid="{F1C3C1DC-B1BA-41D1-9C4E-31A54BC22548}">
      <text>
        <r>
          <rPr>
            <b/>
            <sz val="9"/>
            <color indexed="81"/>
            <rFont val="Tahoma"/>
            <family val="2"/>
          </rPr>
          <t>Family Psychotherapy</t>
        </r>
      </text>
    </comment>
    <comment ref="D27" authorId="2" shapeId="0" xr:uid="{52B934BD-DC6C-40D2-B169-7AB80F76FFBD}">
      <text>
        <r>
          <rPr>
            <b/>
            <sz val="9"/>
            <color indexed="81"/>
            <rFont val="Tahoma"/>
            <family val="2"/>
          </rPr>
          <t>Family psychotherapy (without the patient present), minimum duration for Medicaid reimbursement is 30 minutes.</t>
        </r>
      </text>
    </comment>
    <comment ref="C28" authorId="3" shapeId="0" xr:uid="{C4CFBF73-5321-438D-9A0D-34888677A770}">
      <text>
        <r>
          <rPr>
            <b/>
            <sz val="9"/>
            <color indexed="81"/>
            <rFont val="Tahoma"/>
            <family val="2"/>
          </rPr>
          <t>Family Psychotherapy</t>
        </r>
      </text>
    </comment>
    <comment ref="D28" authorId="2" shapeId="0" xr:uid="{1470FAEF-B00A-40F6-9087-E53CA3AAC5DD}">
      <text>
        <r>
          <rPr>
            <b/>
            <sz val="9"/>
            <color indexed="81"/>
            <rFont val="Tahoma"/>
            <family val="2"/>
          </rPr>
          <t>Family psychotherapy (conjoint psychotherapy) with patient present, minimum duration for Medicaid reimbursement is 1 hour.</t>
        </r>
      </text>
    </comment>
    <comment ref="C29" authorId="3" shapeId="0" xr:uid="{057FC516-1AE4-4708-A95F-B5DD71E8DCB1}">
      <text>
        <r>
          <rPr>
            <b/>
            <sz val="9"/>
            <color indexed="81"/>
            <rFont val="Tahoma"/>
            <family val="2"/>
          </rPr>
          <t>Group Psychotherapy</t>
        </r>
      </text>
    </comment>
    <comment ref="D29" authorId="2" shapeId="0" xr:uid="{6EF83A63-FF69-42AD-8811-E907D63FF0B6}">
      <text>
        <r>
          <rPr>
            <b/>
            <sz val="9"/>
            <color indexed="81"/>
            <rFont val="Tahoma"/>
            <family val="2"/>
          </rPr>
          <t>Multiple-family group psychotherapy, minimum duration for Medicaid reimbursement of 1 hour.</t>
        </r>
      </text>
    </comment>
    <comment ref="C30" authorId="3" shapeId="0" xr:uid="{9F2F7E5D-EDC4-48DA-BD1E-5C1B4EC05E08}">
      <text>
        <r>
          <rPr>
            <b/>
            <sz val="9"/>
            <color indexed="81"/>
            <rFont val="Tahoma"/>
            <family val="2"/>
          </rPr>
          <t>Group Psychotherapy</t>
        </r>
      </text>
    </comment>
    <comment ref="D30" authorId="2" shapeId="0" xr:uid="{FE216437-0752-4553-AF2E-36B475C2CD8E}">
      <text>
        <r>
          <rPr>
            <b/>
            <sz val="9"/>
            <color indexed="81"/>
            <rFont val="Tahoma"/>
            <family val="2"/>
          </rPr>
          <t>Group psychotherapy (other than of a multiple-family group), minimum duration for Medicaid reimbursement of 1 hour.</t>
        </r>
      </text>
    </comment>
    <comment ref="D31" authorId="0" shapeId="0" xr:uid="{B53E1ABD-B8EF-4ACE-AAE6-80866C70CE91}">
      <text>
        <r>
          <rPr>
            <b/>
            <sz val="9"/>
            <color indexed="81"/>
            <rFont val="Tahoma"/>
            <family val="2"/>
          </rPr>
          <t xml:space="preserve">School based group psychotherapy, less than one hour.
</t>
        </r>
      </text>
    </comment>
    <comment ref="E31" authorId="0" shapeId="0" xr:uid="{E24F6221-9943-4358-9C55-96B06E21465D}">
      <text>
        <r>
          <rPr>
            <b/>
            <sz val="9"/>
            <color indexed="81"/>
            <rFont val="Tahoma"/>
            <family val="2"/>
          </rPr>
          <t>Reduced service modifier (U5); 30% less than 60 minute group session</t>
        </r>
        <r>
          <rPr>
            <sz val="9"/>
            <color indexed="81"/>
            <rFont val="Tahoma"/>
            <family val="2"/>
          </rPr>
          <t xml:space="preserve">.
</t>
        </r>
      </text>
    </comment>
    <comment ref="D32" authorId="0" shapeId="0" xr:uid="{68C8FEB5-1D48-4ADF-A2F3-DA9EC3FF1DE6}">
      <text>
        <r>
          <rPr>
            <b/>
            <sz val="9"/>
            <color indexed="81"/>
            <rFont val="Tahoma"/>
            <family val="2"/>
          </rPr>
          <t xml:space="preserve">School based group psychotherapy, less than one hour.
</t>
        </r>
      </text>
    </comment>
    <comment ref="D33" authorId="0" shapeId="0" xr:uid="{DD11CFB1-3674-44FA-97A0-B8D6272F194E}">
      <text>
        <r>
          <rPr>
            <b/>
            <sz val="9"/>
            <color indexed="81"/>
            <rFont val="Tahoma"/>
            <family val="2"/>
          </rPr>
          <t xml:space="preserve">School based group psychotherapy, less than one hour.
</t>
        </r>
      </text>
    </comment>
    <comment ref="C34" authorId="3" shapeId="0" xr:uid="{D4FD498C-55DD-4914-A524-E05B8C1DC95B}">
      <text>
        <r>
          <rPr>
            <b/>
            <sz val="9"/>
            <color indexed="81"/>
            <rFont val="Tahoma"/>
            <family val="2"/>
          </rPr>
          <t>Developmental and Neuropsychological Testing</t>
        </r>
      </text>
    </comment>
    <comment ref="D34" authorId="2" shapeId="0" xr:uid="{0E4FFC7A-41ED-4258-98DF-235FF74CB242}">
      <text>
        <r>
          <rPr>
            <b/>
            <sz val="9"/>
            <color indexed="81"/>
            <rFont val="Tahoma"/>
            <family val="2"/>
          </rPr>
          <t>Developmental Testing on a limited basis.</t>
        </r>
      </text>
    </comment>
    <comment ref="C35" authorId="3" shapeId="0" xr:uid="{96DF5FF5-8EBC-4F01-8EFA-412453A9FE07}">
      <text>
        <r>
          <rPr>
            <b/>
            <sz val="9"/>
            <color indexed="81"/>
            <rFont val="Tahoma"/>
            <family val="2"/>
          </rPr>
          <t>Developmental and Neuropsychological Testing</t>
        </r>
      </text>
    </comment>
    <comment ref="D35" authorId="2" shapeId="0" xr:uid="{28FB6800-54D2-409F-A030-92242BF83D8D}">
      <text>
        <r>
          <rPr>
            <b/>
            <sz val="9"/>
            <color indexed="81"/>
            <rFont val="Tahoma"/>
            <family val="2"/>
          </rPr>
          <t>Developmental Testing on a extended basis.</t>
        </r>
      </text>
    </comment>
    <comment ref="C40" authorId="3" shapeId="0" xr:uid="{3A4C2181-70D4-454B-AF7C-7EFC2EBAAEAB}">
      <text>
        <r>
          <rPr>
            <b/>
            <sz val="9"/>
            <color indexed="81"/>
            <rFont val="Tahoma"/>
            <family val="2"/>
          </rPr>
          <t>Developmental and Neuropsychological Testing</t>
        </r>
      </text>
    </comment>
    <comment ref="D40" authorId="2" shapeId="0" xr:uid="{BB413D47-BD6B-4138-9C06-ADDB5B59960A}">
      <text>
        <r>
          <rPr>
            <b/>
            <sz val="9"/>
            <color indexed="81"/>
            <rFont val="Tahoma"/>
            <family val="2"/>
          </rPr>
          <t>Psychological Testing by Psych and Physicians</t>
        </r>
      </text>
    </comment>
    <comment ref="C41" authorId="3" shapeId="0" xr:uid="{2D5AF9AE-C97E-4964-AAC3-323785FAE99A}">
      <text>
        <r>
          <rPr>
            <b/>
            <sz val="9"/>
            <color indexed="81"/>
            <rFont val="Tahoma"/>
            <family val="2"/>
          </rPr>
          <t>Developmental and Neuropsychological Testing</t>
        </r>
      </text>
    </comment>
    <comment ref="D41" authorId="2" shapeId="0" xr:uid="{AC5E5E95-97D2-40CA-8EBE-BAEAAC87D1D0}">
      <text>
        <r>
          <rPr>
            <b/>
            <sz val="9"/>
            <color indexed="81"/>
            <rFont val="Tahoma"/>
            <family val="2"/>
          </rPr>
          <t>Neurobehavioral status exam</t>
        </r>
      </text>
    </comment>
    <comment ref="C42" authorId="3" shapeId="0" xr:uid="{E2A60969-19F4-4C9D-8F50-2263F943ECEF}">
      <text>
        <r>
          <rPr>
            <b/>
            <sz val="9"/>
            <color indexed="81"/>
            <rFont val="Tahoma"/>
            <family val="2"/>
          </rPr>
          <t>Developmental and Neuropsychological Testing</t>
        </r>
      </text>
    </comment>
    <comment ref="D42" authorId="2" shapeId="0" xr:uid="{8C2B30E6-5EB0-4C41-BBB9-8B4CC113B010}">
      <text>
        <r>
          <rPr>
            <b/>
            <sz val="9"/>
            <color indexed="81"/>
            <rFont val="Tahoma"/>
            <family val="2"/>
          </rPr>
          <t>Neurobehavioral Testing by Psych/Physicians</t>
        </r>
      </text>
    </comment>
    <comment ref="C43" authorId="3" shapeId="0" xr:uid="{073A17A9-335E-4A94-83B6-77313E9F4A0A}">
      <text>
        <r>
          <rPr>
            <b/>
            <sz val="9"/>
            <color indexed="81"/>
            <rFont val="Tahoma"/>
            <family val="2"/>
          </rPr>
          <t>Incidental to Medical, Significant Procedure or Therapy Visit</t>
        </r>
      </text>
    </comment>
    <comment ref="D43" authorId="2" shapeId="0" xr:uid="{52FDBEFB-0373-482A-A990-DDF81B254DF0}">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44" authorId="0" shapeId="0" xr:uid="{57814492-6CFD-4CDA-888C-BC0A41E1DA3F}">
      <text>
        <r>
          <rPr>
            <b/>
            <sz val="9"/>
            <color indexed="81"/>
            <rFont val="Tahoma"/>
            <family val="2"/>
          </rPr>
          <t>APG is based on diagnosis (see descriptions for APG codes 820-831 on 'Consult Wt' tab)</t>
        </r>
        <r>
          <rPr>
            <sz val="9"/>
            <color indexed="81"/>
            <rFont val="Tahoma"/>
            <family val="2"/>
          </rPr>
          <t xml:space="preserve">
</t>
        </r>
      </text>
    </comment>
    <comment ref="D44" authorId="0" shapeId="0" xr:uid="{DFB13B16-D0B7-408E-A70D-324FB64B3D2D}">
      <text>
        <r>
          <rPr>
            <b/>
            <sz val="9"/>
            <color indexed="81"/>
            <rFont val="Tahoma"/>
            <family val="2"/>
          </rPr>
          <t>99382-99387 New Patient, 
99392-99397 Established Patient</t>
        </r>
        <r>
          <rPr>
            <sz val="9"/>
            <color indexed="81"/>
            <rFont val="Tahoma"/>
            <family val="2"/>
          </rPr>
          <t xml:space="preserve">
</t>
        </r>
      </text>
    </comment>
    <comment ref="E44" authorId="0" shapeId="0" xr:uid="{F3C3D2C3-A294-4780-B18E-EABB79A70CD6}">
      <text>
        <r>
          <rPr>
            <b/>
            <sz val="9"/>
            <color indexed="81"/>
            <rFont val="Tahoma"/>
            <family val="2"/>
          </rPr>
          <t>Default weight value.  Use 'DX Wt' tab to calculate a custom weight for your clinic.</t>
        </r>
        <r>
          <rPr>
            <sz val="9"/>
            <color indexed="81"/>
            <rFont val="Tahoma"/>
            <family val="2"/>
          </rPr>
          <t xml:space="preserve">
</t>
        </r>
      </text>
    </comment>
    <comment ref="C45" authorId="3" shapeId="0" xr:uid="{FEE3C50C-8BA3-48C0-BCA9-170C0BF1366A}">
      <text>
        <r>
          <rPr>
            <b/>
            <sz val="9"/>
            <color indexed="81"/>
            <rFont val="Tahoma"/>
            <family val="2"/>
          </rPr>
          <t>Incidental to Medical, Significant Procedure or Therapy Visit</t>
        </r>
      </text>
    </comment>
    <comment ref="C46" authorId="3" shapeId="0" xr:uid="{C0284644-9151-422E-9CBB-1A7B04C15719}">
      <text>
        <r>
          <rPr>
            <b/>
            <sz val="9"/>
            <color indexed="81"/>
            <rFont val="Tahoma"/>
            <family val="2"/>
          </rPr>
          <t>Incidental to Medical, Significant Procedure or Therapy Visit</t>
        </r>
      </text>
    </comment>
    <comment ref="C47" authorId="3" shapeId="0" xr:uid="{F6DC8F0E-9961-45D3-9041-154509463CBE}">
      <text>
        <r>
          <rPr>
            <b/>
            <sz val="9"/>
            <color indexed="81"/>
            <rFont val="Tahoma"/>
            <family val="2"/>
          </rPr>
          <t>Incidental to Medical, Significant Procedure or Therapy Visit</t>
        </r>
      </text>
    </comment>
    <comment ref="C48" authorId="3" shapeId="0" xr:uid="{2AFAC5EB-83B4-4077-867C-56B8FD928359}">
      <text>
        <r>
          <rPr>
            <b/>
            <sz val="9"/>
            <color indexed="81"/>
            <rFont val="Tahoma"/>
            <family val="2"/>
          </rPr>
          <t>Incidental to Medical, Significant Procedure or Therapy Visit</t>
        </r>
      </text>
    </comment>
    <comment ref="C49" authorId="3" shapeId="0" xr:uid="{FCBB7FAB-3627-468F-9F98-0DD6FFBE22A9}">
      <text>
        <r>
          <rPr>
            <b/>
            <sz val="9"/>
            <color indexed="81"/>
            <rFont val="Tahoma"/>
            <family val="2"/>
          </rPr>
          <t>Incidental to Medical, Significant Procedure or Therapy Visit</t>
        </r>
      </text>
    </comment>
    <comment ref="C50" authorId="3" shapeId="0" xr:uid="{B2DC5D7A-9922-42C7-AD3E-66CDB1380610}">
      <text>
        <r>
          <rPr>
            <b/>
            <sz val="9"/>
            <color indexed="81"/>
            <rFont val="Tahoma"/>
            <family val="2"/>
          </rPr>
          <t>Incidental to Medical, Significant Procedure or Therapy Visit</t>
        </r>
      </text>
    </comment>
  </commentList>
</comments>
</file>

<file path=xl/sharedStrings.xml><?xml version="1.0" encoding="utf-8"?>
<sst xmlns="http://schemas.openxmlformats.org/spreadsheetml/2006/main" count="502" uniqueCount="201">
  <si>
    <t>DISCLAIMER</t>
  </si>
  <si>
    <r>
      <t xml:space="preserve">This information contained within this tool is intended to assist NYS Behavioral Health Clinic Providers in reviewing their financial position by examining their volume, service mix, productivity standards and operating expenses.  This tool must be understood as a resource for informational purposes only and not intended to be a substitute for financial or legal advice. Organizations are encouraged to consult state guidelines for specific financial and reimbursement/payment information. The numbers represented in this worksheet are solely </t>
    </r>
    <r>
      <rPr>
        <b/>
        <sz val="16"/>
        <color rgb="FF222222"/>
        <rFont val="Arial"/>
        <family val="2"/>
      </rPr>
      <t>examples</t>
    </r>
    <r>
      <rPr>
        <sz val="16"/>
        <color rgb="FF222222"/>
        <rFont val="Arial"/>
        <family val="2"/>
      </rPr>
      <t>.</t>
    </r>
  </si>
  <si>
    <t>Description</t>
  </si>
  <si>
    <t>CPT  Codes</t>
  </si>
  <si>
    <t>Contact</t>
  </si>
  <si>
    <t>Units</t>
  </si>
  <si>
    <t>%</t>
  </si>
  <si>
    <t>Initial Assessment Diagnostic &amp; Treatment Plan</t>
  </si>
  <si>
    <t>Initial Assessment Diagnostic &amp; Treatment Plan with Medical Services</t>
  </si>
  <si>
    <t>Psychiatric Assessment - 30 mins</t>
  </si>
  <si>
    <t>Code Range</t>
  </si>
  <si>
    <t>Psychiatric Assessment - 30 mins - ADD ON</t>
  </si>
  <si>
    <t>Psychiatric Assessment - 45-50  mins</t>
  </si>
  <si>
    <t>Psychiatric Assessment - 45-50  mins - ADD ON</t>
  </si>
  <si>
    <t>Psychiatric Consultation</t>
  </si>
  <si>
    <t>Crisis Intervention - 15 min</t>
  </si>
  <si>
    <t>H2011</t>
  </si>
  <si>
    <t>Crisis Intervention - per hour</t>
  </si>
  <si>
    <t>S9484</t>
  </si>
  <si>
    <t>Crisis Intervention - per diem</t>
  </si>
  <si>
    <t>S9485</t>
  </si>
  <si>
    <t>Injectable Med Admin with Monit &amp; Edu</t>
  </si>
  <si>
    <t>H2010</t>
  </si>
  <si>
    <t>Injection Only</t>
  </si>
  <si>
    <t>Psychotropic Medication Treatment</t>
  </si>
  <si>
    <t>Psychotherapy - Indiv 30 mins</t>
  </si>
  <si>
    <t>Psychotherapy - Indiv 45 mins</t>
  </si>
  <si>
    <t>Psychotherapy - Family 30 mins</t>
  </si>
  <si>
    <t>Psychotherapy - Family&amp;Client 1 hr</t>
  </si>
  <si>
    <t>Psychotherapy - Family Group 1hr</t>
  </si>
  <si>
    <t>Psychotherapy - Group 1 hr</t>
  </si>
  <si>
    <t>Psychotherapy - Group &lt;1 hr</t>
  </si>
  <si>
    <t>Self-help/peer services, per 15 minutes</t>
  </si>
  <si>
    <t>H0038</t>
  </si>
  <si>
    <t>Self-help/peer services, per 15 minutes - Group</t>
  </si>
  <si>
    <t>H0038-HQ</t>
  </si>
  <si>
    <t>Developmental Testing - limited</t>
  </si>
  <si>
    <t>Developmental Testing - First Hour</t>
  </si>
  <si>
    <t>Developmental Testing - Additional 30 min.</t>
  </si>
  <si>
    <t>Psychological Testing Evaluation - First Hour</t>
  </si>
  <si>
    <t>Psychological Testing Evaluation - Additional Hour</t>
  </si>
  <si>
    <t>Psychological Testing Admin and Scoring - First Hour</t>
  </si>
  <si>
    <t>Psychological Testing Admin and Scoring - Additional Hour</t>
  </si>
  <si>
    <t>Psychological Testing - Neurobehavioral First Hour</t>
  </si>
  <si>
    <t>Psychological Testing - Neurobehavioral Additional Hour</t>
  </si>
  <si>
    <t>Complex Care Management - 15 mins</t>
  </si>
  <si>
    <t>Health Physicals - New/Estab Patient</t>
  </si>
  <si>
    <t>Health Monitoring - 15 mins</t>
  </si>
  <si>
    <t>Health Monitoring - 30 mins</t>
  </si>
  <si>
    <t>Health Monitoring - 45 mins</t>
  </si>
  <si>
    <t>Health Monitoring - 60 mins</t>
  </si>
  <si>
    <t>Health Monitoring Group - 30 mins</t>
  </si>
  <si>
    <t>Health Monitoring Group - 60 mins</t>
  </si>
  <si>
    <t>Smoking Cessation Treatment - 3-10 mins; requires Dx code 305.1</t>
  </si>
  <si>
    <t>Smoking Cessation Treatment - &gt;10 mins; requires Dx code 305.1</t>
  </si>
  <si>
    <t>Smoking Cessation Treatment (Group) - &gt;10 mins; requires Dx code 305.1 (req HQ modifier)</t>
  </si>
  <si>
    <t>99407-HQ</t>
  </si>
  <si>
    <t>Alcohol and/or Drug Screening</t>
  </si>
  <si>
    <t>H0049</t>
  </si>
  <si>
    <t>Alcohol and/or Drug, brief intervention, per 15 mins</t>
  </si>
  <si>
    <t>H0050</t>
  </si>
  <si>
    <t xml:space="preserve">Total:  </t>
  </si>
  <si>
    <t xml:space="preserve"> </t>
  </si>
  <si>
    <t xml:space="preserve">Payer Mix: </t>
  </si>
  <si>
    <t>Base Rates Including Quality Improvement Add-On</t>
  </si>
  <si>
    <t>Base Rates Without Quality Improvement Add-On</t>
  </si>
  <si>
    <t xml:space="preserve">Hospital Art 28 Rates </t>
  </si>
  <si>
    <t xml:space="preserve">Medicaid FFS: </t>
  </si>
  <si>
    <t>Peer Groups</t>
  </si>
  <si>
    <t>Upstate Article 31 &amp; DTCs</t>
  </si>
  <si>
    <t>Downstate Article 31 &amp; DTCs</t>
  </si>
  <si>
    <t>County Article 31</t>
  </si>
  <si>
    <t>Upstate Hosp Article 28</t>
  </si>
  <si>
    <t>Downstate Hosp Art 28</t>
  </si>
  <si>
    <t xml:space="preserve">Medicaid Managed Care: </t>
  </si>
  <si>
    <t>Rates Effective 4/1/23</t>
  </si>
  <si>
    <t xml:space="preserve">3rd Party: </t>
  </si>
  <si>
    <t xml:space="preserve">Self Pay: </t>
  </si>
  <si>
    <t>Example</t>
  </si>
  <si>
    <t xml:space="preserve">Medicare: </t>
  </si>
  <si>
    <t>Mod Error</t>
  </si>
  <si>
    <t>Number of payment adjustments exceeds Medicaid units in Column G</t>
  </si>
  <si>
    <t xml:space="preserve">No pay/denials: </t>
  </si>
  <si>
    <t>BASE RATE</t>
  </si>
  <si>
    <t>Payment Adjustments</t>
  </si>
  <si>
    <t>CPT Revenue Data</t>
  </si>
  <si>
    <t>2nd Service Discount</t>
  </si>
  <si>
    <t>Discounted</t>
  </si>
  <si>
    <t>CPT SERVICES</t>
  </si>
  <si>
    <t xml:space="preserve">Total from </t>
  </si>
  <si>
    <t>Base</t>
  </si>
  <si>
    <t>Adjustments</t>
  </si>
  <si>
    <t xml:space="preserve">Sub-Total </t>
  </si>
  <si>
    <t>Total Revenue</t>
  </si>
  <si>
    <t>Discount</t>
  </si>
  <si>
    <t xml:space="preserve">Total </t>
  </si>
  <si>
    <t>Expense Calc:</t>
  </si>
  <si>
    <t>CPT Procedure - OMH Regulatory Name</t>
  </si>
  <si>
    <t>APG</t>
  </si>
  <si>
    <t>Service Weight</t>
  </si>
  <si>
    <t>Total Contacts</t>
  </si>
  <si>
    <t>Medicaid/MMC Units Of Service</t>
  </si>
  <si>
    <t>LOE U4 Modifier</t>
  </si>
  <si>
    <t>LOE U1,U7 Modifier</t>
  </si>
  <si>
    <t>After Hours CPT Code 99051</t>
  </si>
  <si>
    <t>School Based Enhancement</t>
  </si>
  <si>
    <t>Off-Site Enhancement</t>
  </si>
  <si>
    <t>MD/NPP Modifier</t>
  </si>
  <si>
    <t>Revenue</t>
  </si>
  <si>
    <t>Translation Services LOE U1,U7 Modifier</t>
  </si>
  <si>
    <t>Modifier Revenue</t>
  </si>
  <si>
    <t># Services</t>
  </si>
  <si>
    <t>Discount Amount</t>
  </si>
  <si>
    <t>820-831</t>
  </si>
  <si>
    <t>X</t>
  </si>
  <si>
    <t>APROX $8.50 PER CLIENT</t>
  </si>
  <si>
    <t>TOTAL SERVICES</t>
  </si>
  <si>
    <t>TOTALS</t>
  </si>
  <si>
    <t>Totals</t>
  </si>
  <si>
    <t xml:space="preserve">Key:  </t>
  </si>
  <si>
    <t>Calculated Field</t>
  </si>
  <si>
    <t>Input Field</t>
  </si>
  <si>
    <t>Staffing</t>
  </si>
  <si>
    <t>Staff Type</t>
  </si>
  <si>
    <t>Staff Name (optional)</t>
  </si>
  <si>
    <t>Average Annual Salary</t>
  </si>
  <si>
    <t>FTEs</t>
  </si>
  <si>
    <t>% Direct Care</t>
  </si>
  <si>
    <t>Contacts per day FTE =  1</t>
  </si>
  <si>
    <t>Avg Contacts per Year</t>
  </si>
  <si>
    <t>Direct Care FTE</t>
  </si>
  <si>
    <t>Direct Care Salary</t>
  </si>
  <si>
    <t>Indirect Care FTE</t>
  </si>
  <si>
    <t>Indirect Care Salary</t>
  </si>
  <si>
    <t>Peer</t>
  </si>
  <si>
    <t>Direct Care Clinical Staff</t>
  </si>
  <si>
    <t>RN</t>
  </si>
  <si>
    <t>MD/PNP</t>
  </si>
  <si>
    <t>Clinical Supervisor</t>
  </si>
  <si>
    <t>Support Staff</t>
  </si>
  <si>
    <t>End- Insert new rows above this line</t>
  </si>
  <si>
    <t>Expense Input</t>
  </si>
  <si>
    <t>Fringe Benefit %</t>
  </si>
  <si>
    <t>Revenue Input</t>
  </si>
  <si>
    <t>Annual Costs</t>
  </si>
  <si>
    <t>Available to work</t>
  </si>
  <si>
    <t>Avg Rate per Contact</t>
  </si>
  <si>
    <t>Contacts</t>
  </si>
  <si>
    <t>Supplies and materials</t>
  </si>
  <si>
    <t>Admin Overhead %</t>
  </si>
  <si>
    <t xml:space="preserve">  Medicaid/MMC</t>
  </si>
  <si>
    <t>Consultants</t>
  </si>
  <si>
    <t xml:space="preserve">  3rd Party</t>
  </si>
  <si>
    <t>Contracted Services</t>
  </si>
  <si>
    <t xml:space="preserve">  Self Pay</t>
  </si>
  <si>
    <t>Training</t>
  </si>
  <si>
    <t>Summary</t>
  </si>
  <si>
    <t xml:space="preserve">  Medicare</t>
  </si>
  <si>
    <t>Travel</t>
  </si>
  <si>
    <t>Wages</t>
  </si>
  <si>
    <t xml:space="preserve">  No Payment/Denial </t>
  </si>
  <si>
    <t>Technology</t>
  </si>
  <si>
    <t>Fringe Benefits</t>
  </si>
  <si>
    <t>Totals:</t>
  </si>
  <si>
    <t>Purchased Services</t>
  </si>
  <si>
    <t>OTPS</t>
  </si>
  <si>
    <t>Repairs &amp; Maintenance</t>
  </si>
  <si>
    <t>Equipment</t>
  </si>
  <si>
    <t>Other Revenue</t>
  </si>
  <si>
    <t>Communications</t>
  </si>
  <si>
    <t>Property</t>
  </si>
  <si>
    <t>Utilities</t>
  </si>
  <si>
    <t>Overhead</t>
  </si>
  <si>
    <t>Vehicle Expense</t>
  </si>
  <si>
    <t>Total Cost</t>
  </si>
  <si>
    <t>Insurance</t>
  </si>
  <si>
    <t>Dues and subscription</t>
  </si>
  <si>
    <t>Operating Revenue</t>
  </si>
  <si>
    <t>Other (specify)</t>
  </si>
  <si>
    <t>Net Surplus/(Loss)</t>
  </si>
  <si>
    <t>Total Other operating Expense</t>
  </si>
  <si>
    <t>Cost per contact</t>
  </si>
  <si>
    <t>Equipment Costs</t>
  </si>
  <si>
    <t>Revenue per contact</t>
  </si>
  <si>
    <t>Contact Surplus/(loss)</t>
  </si>
  <si>
    <t>Reference calculator</t>
  </si>
  <si>
    <t>Work wk. in hours:</t>
  </si>
  <si>
    <t>% of FTE:</t>
  </si>
  <si>
    <t>Days</t>
  </si>
  <si>
    <t>Hrs.</t>
  </si>
  <si>
    <t>Paid:</t>
  </si>
  <si>
    <t>Holidays:</t>
  </si>
  <si>
    <t>Floating Holiday</t>
  </si>
  <si>
    <t>Vacation</t>
  </si>
  <si>
    <t>Training Days</t>
  </si>
  <si>
    <t>Other PTO:</t>
  </si>
  <si>
    <t>Available:</t>
  </si>
  <si>
    <t>Expected daily unit</t>
  </si>
  <si>
    <t>Units per year</t>
  </si>
  <si>
    <t>No show rate</t>
  </si>
  <si>
    <t>Unit schedule per day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</si>
</sst>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0_);_(* \(#,##0.0000\);_(* &quot;-&quot;??_);_(@_)"/>
    <numFmt numFmtId="168" formatCode="_(* #,##0.0000000000000000000000000000_);_(* \(#,##0.0000000000000000000000000000\);_(* &quot;-&quot;??_);_(@_)"/>
    <numFmt numFmtId="169" formatCode="_(* #,##0.0000_);_(* \(#,##0.0000\);_(* &quot;-&quot;????_);_(@_)"/>
    <numFmt numFmtId="170" formatCode="0.00_);\(0.00\)"/>
    <numFmt numFmtId="171" formatCode="0.0%"/>
    <numFmt numFmtId="172" formatCode="#,##0.0_);\(#,##0.0\)"/>
  </numFmts>
  <fonts count="36" x14ac:knownFonts="1">
    <font>
      <sz val="11"/>
      <color theme="1"/>
      <name val="Calibri"/>
      <family val="2"/>
      <scheme val="minor"/>
    </font>
    <font>
      <sz val="11"/>
      <color indexed="8"/>
      <name val="Calibri"/>
      <family val="2"/>
    </font>
    <font>
      <sz val="11"/>
      <color indexed="8"/>
      <name val="Calibri"/>
      <family val="2"/>
    </font>
    <font>
      <b/>
      <sz val="9"/>
      <color indexed="81"/>
      <name val="Tahoma"/>
      <family val="2"/>
    </font>
    <font>
      <sz val="9"/>
      <color indexed="81"/>
      <name val="Tahoma"/>
      <family val="2"/>
    </font>
    <font>
      <b/>
      <sz val="11"/>
      <name val="Calibri"/>
      <family val="2"/>
    </font>
    <font>
      <b/>
      <i/>
      <sz val="11"/>
      <name val="Calibri"/>
      <family val="2"/>
    </font>
    <font>
      <b/>
      <sz val="10"/>
      <name val="Calibri"/>
      <family val="2"/>
    </font>
    <font>
      <b/>
      <u/>
      <sz val="11"/>
      <name val="Calibri"/>
      <family val="2"/>
    </font>
    <font>
      <sz val="11"/>
      <name val="Calibri"/>
      <family val="2"/>
    </font>
    <font>
      <i/>
      <sz val="11"/>
      <name val="Calibri"/>
      <family val="2"/>
    </font>
    <font>
      <u/>
      <sz val="11"/>
      <name val="Calibri"/>
      <family val="2"/>
    </font>
    <font>
      <b/>
      <sz val="10"/>
      <color theme="1"/>
      <name val="Calibri"/>
      <family val="2"/>
      <scheme val="minor"/>
    </font>
    <font>
      <b/>
      <sz val="10"/>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font>
    <font>
      <sz val="10"/>
      <color theme="1"/>
      <name val="Arial"/>
      <family val="2"/>
    </font>
    <font>
      <b/>
      <sz val="11"/>
      <color rgb="FFFF00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color indexed="8"/>
      <name val="Arial"/>
      <family val="2"/>
    </font>
    <font>
      <b/>
      <sz val="10"/>
      <color indexed="8"/>
      <name val="Arial"/>
      <family val="2"/>
    </font>
    <font>
      <b/>
      <sz val="9"/>
      <color indexed="8"/>
      <name val="Arial"/>
      <family val="2"/>
    </font>
    <font>
      <b/>
      <sz val="11"/>
      <color indexed="8"/>
      <name val="Calibri"/>
      <family val="2"/>
    </font>
    <font>
      <b/>
      <sz val="10"/>
      <name val="Arial"/>
      <family val="2"/>
    </font>
    <font>
      <b/>
      <i/>
      <sz val="11"/>
      <color indexed="8"/>
      <name val="Calibri"/>
      <family val="2"/>
    </font>
    <font>
      <b/>
      <sz val="11"/>
      <color theme="0"/>
      <name val="Calibri"/>
      <family val="2"/>
    </font>
    <font>
      <b/>
      <sz val="10"/>
      <color indexed="8"/>
      <name val="Calibri"/>
      <family val="2"/>
    </font>
    <font>
      <b/>
      <sz val="20"/>
      <color theme="1"/>
      <name val="Calibri"/>
      <family val="2"/>
      <scheme val="minor"/>
    </font>
    <font>
      <sz val="16"/>
      <color rgb="FF222222"/>
      <name val="Arial"/>
      <family val="2"/>
    </font>
    <font>
      <b/>
      <sz val="16"/>
      <color rgb="FF222222"/>
      <name val="Arial"/>
      <family val="2"/>
    </font>
    <font>
      <b/>
      <sz val="9"/>
      <color rgb="FF000000"/>
      <name val="Tahoma"/>
      <family val="2"/>
    </font>
    <font>
      <sz val="9"/>
      <color rgb="FF000000"/>
      <name val="Tahoma"/>
      <family val="2"/>
    </font>
  </fonts>
  <fills count="17">
    <fill>
      <patternFill patternType="none"/>
    </fill>
    <fill>
      <patternFill patternType="gray125"/>
    </fill>
    <fill>
      <patternFill patternType="solid">
        <fgColor indexed="26"/>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6EFCE"/>
      </patternFill>
    </fill>
    <fill>
      <patternFill patternType="solid">
        <fgColor theme="4" tint="0.79998168889431442"/>
        <bgColor indexed="64"/>
      </patternFill>
    </fill>
    <fill>
      <patternFill patternType="solid">
        <fgColor indexed="27"/>
        <bgColor indexed="64"/>
      </patternFill>
    </fill>
    <fill>
      <patternFill patternType="solid">
        <fgColor theme="0"/>
        <bgColor indexed="64"/>
      </patternFill>
    </fill>
    <fill>
      <patternFill patternType="solid">
        <fgColor indexed="43"/>
        <bgColor indexed="64"/>
      </patternFill>
    </fill>
    <fill>
      <patternFill patternType="solid">
        <fgColor indexed="2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0000"/>
        <bgColor indexed="64"/>
      </patternFill>
    </fill>
  </fills>
  <borders count="4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18" fillId="0" borderId="0"/>
    <xf numFmtId="0" fontId="21" fillId="8" borderId="0" applyNumberFormat="0" applyBorder="0" applyAlignment="0" applyProtection="0"/>
    <xf numFmtId="0" fontId="2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0" fillId="0" borderId="0" xfId="0" applyAlignment="1">
      <alignment wrapText="1"/>
    </xf>
    <xf numFmtId="0" fontId="5" fillId="0" borderId="0" xfId="0" applyFont="1" applyAlignment="1">
      <alignment horizontal="center"/>
    </xf>
    <xf numFmtId="0" fontId="5" fillId="3" borderId="6" xfId="0" applyFont="1" applyFill="1" applyBorder="1" applyAlignment="1">
      <alignment horizontal="center"/>
    </xf>
    <xf numFmtId="166" fontId="5" fillId="0" borderId="2" xfId="0" applyNumberFormat="1" applyFont="1" applyBorder="1" applyAlignment="1">
      <alignment horizontal="center"/>
    </xf>
    <xf numFmtId="0" fontId="14" fillId="3" borderId="2" xfId="0" applyFont="1" applyFill="1" applyBorder="1" applyAlignment="1">
      <alignment horizontal="left"/>
    </xf>
    <xf numFmtId="166" fontId="5" fillId="0" borderId="0" xfId="0" applyNumberFormat="1" applyFont="1" applyAlignment="1">
      <alignment horizontal="center"/>
    </xf>
    <xf numFmtId="2" fontId="5" fillId="0" borderId="0" xfId="0" applyNumberFormat="1" applyFont="1" applyAlignment="1">
      <alignment horizontal="center"/>
    </xf>
    <xf numFmtId="0" fontId="5" fillId="3" borderId="14" xfId="0" applyFont="1" applyFill="1" applyBorder="1" applyAlignment="1">
      <alignment horizontal="center" vertical="top" wrapText="1"/>
    </xf>
    <xf numFmtId="9" fontId="6" fillId="0" borderId="10" xfId="4" applyFont="1" applyFill="1" applyBorder="1"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left"/>
    </xf>
    <xf numFmtId="0" fontId="5" fillId="0" borderId="2" xfId="0" applyFont="1" applyBorder="1" applyAlignment="1">
      <alignment horizontal="center"/>
    </xf>
    <xf numFmtId="0" fontId="5" fillId="3" borderId="14" xfId="0" applyFont="1" applyFill="1" applyBorder="1" applyAlignment="1">
      <alignment horizontal="center"/>
    </xf>
    <xf numFmtId="164" fontId="10" fillId="0" borderId="0" xfId="1" applyNumberFormat="1" applyFont="1" applyFill="1" applyBorder="1" applyAlignment="1">
      <alignment wrapText="1"/>
    </xf>
    <xf numFmtId="165" fontId="9" fillId="0" borderId="0" xfId="2" applyNumberFormat="1" applyFont="1" applyFill="1" applyBorder="1"/>
    <xf numFmtId="165" fontId="9" fillId="0" borderId="0" xfId="0" applyNumberFormat="1" applyFont="1"/>
    <xf numFmtId="164" fontId="9" fillId="0" borderId="0" xfId="0" applyNumberFormat="1" applyFont="1"/>
    <xf numFmtId="0" fontId="16" fillId="0" borderId="2" xfId="0" applyFont="1" applyBorder="1" applyAlignment="1">
      <alignment horizontal="center"/>
    </xf>
    <xf numFmtId="0" fontId="14" fillId="3" borderId="9" xfId="0" applyFont="1" applyFill="1" applyBorder="1" applyAlignment="1">
      <alignment horizontal="left" wrapText="1"/>
    </xf>
    <xf numFmtId="164" fontId="9" fillId="2" borderId="2" xfId="1" applyNumberFormat="1" applyFont="1" applyFill="1" applyBorder="1" applyAlignment="1">
      <alignment horizontal="center"/>
    </xf>
    <xf numFmtId="0" fontId="14" fillId="3" borderId="9" xfId="0" applyFont="1" applyFill="1" applyBorder="1" applyAlignment="1">
      <alignment horizontal="left"/>
    </xf>
    <xf numFmtId="164" fontId="9" fillId="6" borderId="2" xfId="1" applyNumberFormat="1" applyFont="1" applyFill="1" applyBorder="1" applyAlignment="1">
      <alignment horizontal="center"/>
    </xf>
    <xf numFmtId="164" fontId="9" fillId="3" borderId="2" xfId="1" applyNumberFormat="1" applyFont="1" applyFill="1" applyBorder="1" applyAlignment="1">
      <alignment horizontal="center"/>
    </xf>
    <xf numFmtId="0" fontId="5" fillId="0" borderId="2" xfId="0" quotePrefix="1" applyFont="1" applyBorder="1" applyAlignment="1">
      <alignment horizontal="center"/>
    </xf>
    <xf numFmtId="0" fontId="8" fillId="3" borderId="9" xfId="0" applyFont="1" applyFill="1" applyBorder="1" applyAlignment="1">
      <alignment horizontal="left"/>
    </xf>
    <xf numFmtId="165" fontId="9" fillId="5" borderId="0" xfId="2" applyNumberFormat="1" applyFont="1" applyFill="1" applyBorder="1"/>
    <xf numFmtId="0" fontId="14" fillId="3" borderId="17" xfId="0" applyFont="1" applyFill="1" applyBorder="1" applyAlignment="1">
      <alignment horizontal="left"/>
    </xf>
    <xf numFmtId="0" fontId="5" fillId="3" borderId="18" xfId="0" applyFont="1" applyFill="1" applyBorder="1" applyAlignment="1">
      <alignment horizontal="center"/>
    </xf>
    <xf numFmtId="164" fontId="5" fillId="3" borderId="2" xfId="0" applyNumberFormat="1" applyFont="1" applyFill="1" applyBorder="1"/>
    <xf numFmtId="165" fontId="5" fillId="3" borderId="2" xfId="2" applyNumberFormat="1" applyFont="1" applyFill="1" applyBorder="1"/>
    <xf numFmtId="164" fontId="5" fillId="3" borderId="2" xfId="0" applyNumberFormat="1" applyFont="1" applyFill="1" applyBorder="1" applyAlignment="1">
      <alignment horizontal="center"/>
    </xf>
    <xf numFmtId="0" fontId="5" fillId="3" borderId="10" xfId="0" applyFont="1" applyFill="1" applyBorder="1" applyAlignment="1">
      <alignment horizontal="center"/>
    </xf>
    <xf numFmtId="0" fontId="15" fillId="0" borderId="0" xfId="0" applyFont="1" applyAlignment="1">
      <alignment horizontal="center"/>
    </xf>
    <xf numFmtId="0" fontId="11" fillId="0" borderId="0" xfId="0" applyFont="1" applyAlignment="1">
      <alignment horizontal="left"/>
    </xf>
    <xf numFmtId="0" fontId="11" fillId="0" borderId="0" xfId="0" applyFont="1" applyAlignment="1">
      <alignment horizontal="left" wrapText="1"/>
    </xf>
    <xf numFmtId="0" fontId="5" fillId="0" borderId="0" xfId="0" applyFont="1"/>
    <xf numFmtId="0" fontId="5" fillId="0" borderId="16" xfId="0" applyFont="1" applyBorder="1" applyAlignment="1">
      <alignment horizontal="center"/>
    </xf>
    <xf numFmtId="0" fontId="8" fillId="0" borderId="15" xfId="0" applyFont="1" applyBorder="1" applyAlignment="1">
      <alignment horizontal="left"/>
    </xf>
    <xf numFmtId="0" fontId="9" fillId="0" borderId="3" xfId="0" applyFont="1" applyBorder="1" applyAlignment="1">
      <alignment horizontal="left"/>
    </xf>
    <xf numFmtId="0" fontId="8" fillId="0" borderId="3" xfId="0" applyFont="1" applyBorder="1" applyAlignment="1">
      <alignment horizontal="left"/>
    </xf>
    <xf numFmtId="0" fontId="9" fillId="0" borderId="4" xfId="0" applyFont="1" applyBorder="1" applyAlignment="1">
      <alignment horizontal="left"/>
    </xf>
    <xf numFmtId="0" fontId="9" fillId="0" borderId="5" xfId="0" applyFont="1" applyBorder="1"/>
    <xf numFmtId="9" fontId="6" fillId="0" borderId="2" xfId="4" applyFont="1" applyBorder="1" applyAlignment="1">
      <alignment horizontal="center"/>
    </xf>
    <xf numFmtId="0" fontId="5" fillId="3" borderId="3" xfId="0" applyFont="1" applyFill="1" applyBorder="1" applyAlignment="1">
      <alignment horizontal="center"/>
    </xf>
    <xf numFmtId="0" fontId="5" fillId="3" borderId="0" xfId="0" applyFont="1" applyFill="1" applyAlignment="1">
      <alignment horizontal="center"/>
    </xf>
    <xf numFmtId="0" fontId="5" fillId="3" borderId="11" xfId="0" applyFont="1" applyFill="1" applyBorder="1" applyAlignment="1">
      <alignment horizontal="center"/>
    </xf>
    <xf numFmtId="9" fontId="6" fillId="3" borderId="3" xfId="4" applyFont="1" applyFill="1" applyBorder="1" applyAlignment="1">
      <alignment horizontal="center"/>
    </xf>
    <xf numFmtId="9" fontId="6" fillId="0" borderId="4" xfId="4" applyFont="1" applyFill="1" applyBorder="1" applyAlignment="1">
      <alignment horizontal="center"/>
    </xf>
    <xf numFmtId="0" fontId="16" fillId="0" borderId="22" xfId="0" applyFont="1" applyBorder="1" applyAlignment="1">
      <alignment horizontal="center"/>
    </xf>
    <xf numFmtId="0" fontId="16" fillId="0" borderId="22" xfId="0" applyFont="1" applyBorder="1" applyAlignment="1">
      <alignment horizontal="center" wrapText="1"/>
    </xf>
    <xf numFmtId="0" fontId="5" fillId="0" borderId="20" xfId="0" applyFont="1" applyBorder="1" applyAlignment="1">
      <alignment horizontal="center" wrapText="1"/>
    </xf>
    <xf numFmtId="0" fontId="6" fillId="0" borderId="23" xfId="0" applyFont="1" applyBorder="1" applyAlignment="1">
      <alignment horizontal="center" vertical="center" wrapText="1"/>
    </xf>
    <xf numFmtId="9" fontId="6" fillId="3" borderId="2" xfId="4" applyFont="1" applyFill="1" applyBorder="1" applyAlignment="1">
      <alignment horizontal="center"/>
    </xf>
    <xf numFmtId="44" fontId="6" fillId="3" borderId="2" xfId="2" applyFont="1" applyFill="1" applyBorder="1" applyAlignment="1">
      <alignment horizontal="center"/>
    </xf>
    <xf numFmtId="167" fontId="5" fillId="3" borderId="2" xfId="1" applyNumberFormat="1" applyFont="1" applyFill="1" applyBorder="1" applyAlignment="1">
      <alignment horizontal="center"/>
    </xf>
    <xf numFmtId="9" fontId="6" fillId="0" borderId="6" xfId="4" applyFont="1" applyFill="1" applyBorder="1" applyAlignment="1">
      <alignment horizontal="center"/>
    </xf>
    <xf numFmtId="44" fontId="6" fillId="0" borderId="6" xfId="2" applyFont="1" applyFill="1" applyBorder="1" applyAlignment="1">
      <alignment horizontal="center"/>
    </xf>
    <xf numFmtId="165" fontId="9" fillId="0" borderId="2" xfId="2" applyNumberFormat="1" applyFont="1" applyBorder="1"/>
    <xf numFmtId="165" fontId="9" fillId="0" borderId="2" xfId="2" applyNumberFormat="1" applyFont="1" applyFill="1" applyBorder="1" applyAlignment="1">
      <alignment horizontal="center"/>
    </xf>
    <xf numFmtId="165" fontId="9" fillId="3" borderId="2" xfId="2" applyNumberFormat="1" applyFont="1" applyFill="1" applyBorder="1" applyAlignment="1">
      <alignment horizontal="center"/>
    </xf>
    <xf numFmtId="0" fontId="16" fillId="0" borderId="2" xfId="0" applyFont="1" applyBorder="1" applyAlignment="1">
      <alignment horizontal="center" vertical="center"/>
    </xf>
    <xf numFmtId="0" fontId="16" fillId="3" borderId="2" xfId="0" applyFont="1" applyFill="1" applyBorder="1" applyAlignment="1">
      <alignment vertical="center" wrapText="1"/>
    </xf>
    <xf numFmtId="166" fontId="16" fillId="0" borderId="2" xfId="0" applyNumberFormat="1" applyFont="1" applyBorder="1" applyAlignment="1">
      <alignment horizontal="center" vertical="center"/>
    </xf>
    <xf numFmtId="0" fontId="5" fillId="3" borderId="18" xfId="0" quotePrefix="1"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9" fillId="0" borderId="2" xfId="0" applyFont="1" applyBorder="1"/>
    <xf numFmtId="165" fontId="5" fillId="0" borderId="2" xfId="2" applyNumberFormat="1" applyFont="1" applyFill="1" applyBorder="1" applyAlignment="1">
      <alignment horizontal="center"/>
    </xf>
    <xf numFmtId="165" fontId="5" fillId="0" borderId="2" xfId="2" applyNumberFormat="1" applyFont="1" applyBorder="1" applyAlignment="1">
      <alignment horizontal="center"/>
    </xf>
    <xf numFmtId="168" fontId="9" fillId="0" borderId="0" xfId="1" applyNumberFormat="1" applyFont="1"/>
    <xf numFmtId="0" fontId="19" fillId="0" borderId="2" xfId="0" applyFont="1" applyBorder="1" applyAlignment="1">
      <alignment horizontal="center"/>
    </xf>
    <xf numFmtId="165" fontId="17" fillId="0" borderId="0" xfId="2" applyNumberFormat="1" applyFont="1" applyFill="1" applyBorder="1"/>
    <xf numFmtId="165" fontId="17" fillId="0" borderId="0" xfId="0" applyNumberFormat="1" applyFont="1"/>
    <xf numFmtId="164" fontId="17" fillId="0" borderId="0" xfId="0" applyNumberFormat="1" applyFont="1"/>
    <xf numFmtId="166" fontId="5" fillId="0" borderId="2" xfId="0" applyNumberFormat="1" applyFont="1" applyBorder="1" applyAlignment="1">
      <alignment horizontal="center" vertical="center"/>
    </xf>
    <xf numFmtId="165" fontId="9" fillId="0" borderId="2" xfId="3" applyNumberFormat="1" applyFont="1" applyBorder="1"/>
    <xf numFmtId="165" fontId="9" fillId="3" borderId="2" xfId="3" applyNumberFormat="1" applyFont="1" applyFill="1" applyBorder="1" applyAlignment="1">
      <alignment horizontal="center"/>
    </xf>
    <xf numFmtId="165" fontId="9" fillId="5" borderId="0" xfId="3" applyNumberFormat="1" applyFont="1" applyFill="1" applyBorder="1"/>
    <xf numFmtId="0" fontId="16" fillId="0" borderId="8" xfId="0" applyFont="1" applyBorder="1" applyAlignment="1">
      <alignment horizontal="center" vertical="center"/>
    </xf>
    <xf numFmtId="0" fontId="5" fillId="0" borderId="8" xfId="0" applyFont="1" applyBorder="1" applyAlignment="1">
      <alignment horizontal="center"/>
    </xf>
    <xf numFmtId="0" fontId="16" fillId="0" borderId="8" xfId="0" applyFont="1" applyBorder="1" applyAlignment="1">
      <alignment horizontal="center"/>
    </xf>
    <xf numFmtId="0" fontId="5" fillId="0" borderId="8" xfId="0" quotePrefix="1" applyFont="1" applyBorder="1" applyAlignment="1">
      <alignment horizontal="center"/>
    </xf>
    <xf numFmtId="9" fontId="5" fillId="3" borderId="8" xfId="4" applyFont="1" applyFill="1" applyBorder="1" applyAlignment="1">
      <alignment horizontal="center"/>
    </xf>
    <xf numFmtId="165" fontId="9" fillId="0" borderId="0" xfId="2" applyNumberFormat="1" applyFont="1" applyFill="1" applyBorder="1" applyAlignment="1">
      <alignment horizontal="center"/>
    </xf>
    <xf numFmtId="165" fontId="5" fillId="0" borderId="2" xfId="0" applyNumberFormat="1" applyFont="1" applyBorder="1" applyAlignment="1">
      <alignment horizontal="center"/>
    </xf>
    <xf numFmtId="165" fontId="9" fillId="0" borderId="2" xfId="2" applyNumberFormat="1" applyFont="1" applyBorder="1" applyAlignment="1">
      <alignment horizontal="center"/>
    </xf>
    <xf numFmtId="165" fontId="5" fillId="0" borderId="2" xfId="3" applyNumberFormat="1" applyFont="1" applyFill="1" applyBorder="1" applyAlignment="1">
      <alignment horizontal="center"/>
    </xf>
    <xf numFmtId="165" fontId="9" fillId="5" borderId="0" xfId="3" applyNumberFormat="1" applyFont="1" applyFill="1" applyBorder="1" applyAlignment="1">
      <alignment horizontal="center"/>
    </xf>
    <xf numFmtId="165" fontId="9" fillId="0" borderId="2" xfId="3" applyNumberFormat="1" applyFont="1" applyFill="1" applyBorder="1" applyAlignment="1">
      <alignment horizontal="center"/>
    </xf>
    <xf numFmtId="165" fontId="9" fillId="5" borderId="2" xfId="3" applyNumberFormat="1" applyFont="1" applyFill="1" applyBorder="1" applyAlignment="1">
      <alignment horizontal="center"/>
    </xf>
    <xf numFmtId="165" fontId="17" fillId="0" borderId="0" xfId="2" applyNumberFormat="1" applyFont="1" applyFill="1" applyBorder="1" applyAlignment="1">
      <alignment horizontal="center"/>
    </xf>
    <xf numFmtId="165" fontId="17" fillId="0" borderId="2" xfId="2" applyNumberFormat="1" applyFont="1" applyFill="1" applyBorder="1" applyAlignment="1">
      <alignment horizontal="center"/>
    </xf>
    <xf numFmtId="165" fontId="5" fillId="3" borderId="2" xfId="2" applyNumberFormat="1" applyFont="1" applyFill="1" applyBorder="1" applyAlignment="1">
      <alignment horizontal="center"/>
    </xf>
    <xf numFmtId="0" fontId="9" fillId="0" borderId="2" xfId="0" applyFont="1" applyBorder="1" applyAlignment="1">
      <alignment horizontal="center"/>
    </xf>
    <xf numFmtId="165" fontId="9" fillId="0" borderId="0" xfId="0" applyNumberFormat="1" applyFont="1" applyAlignment="1">
      <alignment horizontal="center"/>
    </xf>
    <xf numFmtId="44" fontId="5" fillId="0" borderId="2" xfId="2" applyFont="1" applyBorder="1"/>
    <xf numFmtId="44" fontId="5" fillId="0" borderId="2" xfId="3" applyFont="1" applyFill="1" applyBorder="1"/>
    <xf numFmtId="44" fontId="5" fillId="0" borderId="2" xfId="2" applyFont="1" applyFill="1" applyBorder="1"/>
    <xf numFmtId="44" fontId="9" fillId="0" borderId="0" xfId="0" applyNumberFormat="1" applyFont="1"/>
    <xf numFmtId="44" fontId="5" fillId="3" borderId="2" xfId="2" applyFont="1" applyFill="1" applyBorder="1"/>
    <xf numFmtId="0" fontId="8" fillId="0" borderId="16" xfId="0" applyFont="1" applyBorder="1" applyAlignment="1">
      <alignment horizontal="left"/>
    </xf>
    <xf numFmtId="0" fontId="8" fillId="0" borderId="0" xfId="0" applyFont="1" applyAlignment="1">
      <alignment horizontal="left"/>
    </xf>
    <xf numFmtId="0" fontId="9" fillId="0" borderId="5" xfId="0" applyFont="1" applyBorder="1" applyAlignment="1">
      <alignment horizontal="left"/>
    </xf>
    <xf numFmtId="0" fontId="5" fillId="3" borderId="12" xfId="0" applyFont="1" applyFill="1" applyBorder="1" applyAlignment="1">
      <alignment horizontal="center"/>
    </xf>
    <xf numFmtId="0" fontId="5"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0" borderId="0" xfId="0" applyFont="1" applyAlignment="1">
      <alignment horizontal="center" vertical="center"/>
    </xf>
    <xf numFmtId="0" fontId="5" fillId="0" borderId="10" xfId="0" applyFont="1" applyBorder="1" applyAlignment="1">
      <alignment horizontal="center" vertical="center" wrapText="1"/>
    </xf>
    <xf numFmtId="7" fontId="5" fillId="0" borderId="2" xfId="2" applyNumberFormat="1" applyFont="1" applyFill="1" applyBorder="1" applyAlignment="1">
      <alignment horizontal="center"/>
    </xf>
    <xf numFmtId="166" fontId="13" fillId="0" borderId="2" xfId="0" applyNumberFormat="1" applyFont="1" applyBorder="1" applyAlignment="1">
      <alignment horizontal="center" vertical="center" wrapText="1"/>
    </xf>
    <xf numFmtId="164" fontId="9" fillId="9" borderId="21" xfId="1" applyNumberFormat="1" applyFont="1" applyFill="1" applyBorder="1" applyAlignment="1">
      <alignment horizontal="center"/>
    </xf>
    <xf numFmtId="0" fontId="9" fillId="0" borderId="0" xfId="0" applyFont="1" applyAlignment="1">
      <alignment horizontal="right"/>
    </xf>
    <xf numFmtId="9" fontId="5" fillId="6" borderId="2" xfId="0" applyNumberFormat="1" applyFont="1" applyFill="1" applyBorder="1" applyAlignment="1">
      <alignment horizontal="center"/>
    </xf>
    <xf numFmtId="3" fontId="5" fillId="3" borderId="9" xfId="0" applyNumberFormat="1" applyFont="1" applyFill="1" applyBorder="1" applyAlignment="1">
      <alignment horizontal="center"/>
    </xf>
    <xf numFmtId="9" fontId="9" fillId="0" borderId="2" xfId="0" applyNumberFormat="1" applyFont="1" applyBorder="1" applyAlignment="1">
      <alignment horizontal="center"/>
    </xf>
    <xf numFmtId="169" fontId="23" fillId="10" borderId="0" xfId="1" applyNumberFormat="1" applyFont="1" applyFill="1" applyBorder="1" applyProtection="1"/>
    <xf numFmtId="0" fontId="0" fillId="7" borderId="0" xfId="0" applyFill="1"/>
    <xf numFmtId="0" fontId="24" fillId="0" borderId="28" xfId="0" applyFont="1" applyBorder="1"/>
    <xf numFmtId="0" fontId="0" fillId="0" borderId="29" xfId="0" applyBorder="1"/>
    <xf numFmtId="43" fontId="24" fillId="10" borderId="28" xfId="1" applyFont="1" applyFill="1" applyBorder="1" applyProtection="1"/>
    <xf numFmtId="43" fontId="24" fillId="11" borderId="28" xfId="1" applyFont="1" applyFill="1" applyBorder="1" applyAlignment="1" applyProtection="1">
      <alignment horizontal="center"/>
    </xf>
    <xf numFmtId="37" fontId="24" fillId="10" borderId="28" xfId="1" applyNumberFormat="1" applyFont="1" applyFill="1" applyBorder="1" applyProtection="1"/>
    <xf numFmtId="0" fontId="0" fillId="12" borderId="0" xfId="0" applyFill="1" applyProtection="1">
      <protection locked="0"/>
    </xf>
    <xf numFmtId="0" fontId="0" fillId="12" borderId="30" xfId="0" applyFill="1" applyBorder="1" applyProtection="1">
      <protection locked="0"/>
    </xf>
    <xf numFmtId="164" fontId="26" fillId="12" borderId="31" xfId="1" applyNumberFormat="1" applyFont="1" applyFill="1" applyBorder="1" applyProtection="1">
      <protection locked="0"/>
    </xf>
    <xf numFmtId="43" fontId="23" fillId="12" borderId="0" xfId="1" applyFont="1" applyFill="1" applyProtection="1">
      <protection locked="0"/>
    </xf>
    <xf numFmtId="9" fontId="23" fillId="12" borderId="0" xfId="1" applyNumberFormat="1" applyFont="1" applyFill="1" applyAlignment="1" applyProtection="1">
      <alignment horizontal="center"/>
      <protection locked="0"/>
    </xf>
    <xf numFmtId="2" fontId="23" fillId="12" borderId="0" xfId="1" applyNumberFormat="1" applyFont="1" applyFill="1" applyAlignment="1" applyProtection="1">
      <alignment horizontal="center"/>
      <protection locked="0"/>
    </xf>
    <xf numFmtId="43" fontId="23" fillId="10" borderId="0" xfId="1" applyFont="1" applyFill="1" applyBorder="1" applyProtection="1"/>
    <xf numFmtId="164" fontId="23" fillId="10" borderId="0" xfId="1" applyNumberFormat="1" applyFont="1" applyFill="1" applyBorder="1" applyProtection="1"/>
    <xf numFmtId="0" fontId="0" fillId="12" borderId="10" xfId="0" applyFill="1" applyBorder="1" applyProtection="1">
      <protection locked="0"/>
    </xf>
    <xf numFmtId="164" fontId="26" fillId="12" borderId="0" xfId="1" applyNumberFormat="1" applyFont="1" applyFill="1" applyProtection="1">
      <protection locked="0"/>
    </xf>
    <xf numFmtId="0" fontId="5" fillId="8" borderId="2" xfId="6" applyFont="1" applyBorder="1" applyAlignment="1">
      <alignment horizontal="center" wrapText="1"/>
    </xf>
    <xf numFmtId="0" fontId="0" fillId="0" borderId="2" xfId="0" applyBorder="1" applyProtection="1">
      <protection locked="0"/>
    </xf>
    <xf numFmtId="0" fontId="20" fillId="0" borderId="2" xfId="7" applyBorder="1" applyProtection="1">
      <protection locked="0"/>
    </xf>
    <xf numFmtId="43" fontId="0" fillId="0" borderId="0" xfId="0" applyNumberFormat="1"/>
    <xf numFmtId="0" fontId="0" fillId="0" borderId="2" xfId="7" applyFont="1" applyBorder="1" applyProtection="1">
      <protection locked="0"/>
    </xf>
    <xf numFmtId="165" fontId="0" fillId="14" borderId="0" xfId="0" applyNumberFormat="1" applyFill="1"/>
    <xf numFmtId="5" fontId="0" fillId="0" borderId="0" xfId="0" applyNumberFormat="1"/>
    <xf numFmtId="3" fontId="0" fillId="14" borderId="0" xfId="0" applyNumberFormat="1" applyFill="1"/>
    <xf numFmtId="7" fontId="0" fillId="0" borderId="0" xfId="0" applyNumberFormat="1"/>
    <xf numFmtId="44" fontId="24" fillId="10" borderId="2" xfId="2" applyFont="1" applyFill="1" applyBorder="1" applyAlignment="1" applyProtection="1">
      <alignment horizontal="right" vertical="center"/>
    </xf>
    <xf numFmtId="165" fontId="24" fillId="10" borderId="2" xfId="2" applyNumberFormat="1" applyFont="1" applyFill="1" applyBorder="1" applyAlignment="1" applyProtection="1">
      <alignment horizontal="right" vertical="center"/>
    </xf>
    <xf numFmtId="0" fontId="0" fillId="0" borderId="0" xfId="0" applyProtection="1">
      <protection locked="0"/>
    </xf>
    <xf numFmtId="0" fontId="0" fillId="0" borderId="19" xfId="0" applyBorder="1"/>
    <xf numFmtId="165" fontId="0" fillId="14" borderId="19" xfId="0" applyNumberFormat="1" applyFill="1" applyBorder="1"/>
    <xf numFmtId="0" fontId="0" fillId="0" borderId="2" xfId="0" applyBorder="1" applyAlignment="1" applyProtection="1">
      <alignment horizontal="left"/>
      <protection locked="0"/>
    </xf>
    <xf numFmtId="0" fontId="0" fillId="14" borderId="0" xfId="0" applyFill="1"/>
    <xf numFmtId="170" fontId="0" fillId="14" borderId="0" xfId="0" applyNumberFormat="1" applyFill="1"/>
    <xf numFmtId="164" fontId="24" fillId="10" borderId="2" xfId="1" applyNumberFormat="1" applyFont="1" applyFill="1" applyBorder="1" applyAlignment="1" applyProtection="1">
      <alignment horizontal="centerContinuous"/>
    </xf>
    <xf numFmtId="0" fontId="20" fillId="0" borderId="6" xfId="7" applyBorder="1" applyProtection="1">
      <protection locked="0"/>
    </xf>
    <xf numFmtId="44" fontId="26" fillId="15" borderId="6" xfId="2" applyFont="1" applyFill="1" applyBorder="1" applyProtection="1">
      <protection locked="0"/>
    </xf>
    <xf numFmtId="0" fontId="22" fillId="0" borderId="2" xfId="7" applyFont="1" applyBorder="1" applyAlignment="1" applyProtection="1">
      <alignment horizontal="center" wrapText="1"/>
      <protection locked="0"/>
    </xf>
    <xf numFmtId="0" fontId="22" fillId="0" borderId="2" xfId="0" applyFont="1" applyBorder="1" applyAlignment="1" applyProtection="1">
      <alignment horizontal="center"/>
      <protection locked="0"/>
    </xf>
    <xf numFmtId="0" fontId="28" fillId="0" borderId="2" xfId="7" applyFont="1" applyBorder="1" applyAlignment="1" applyProtection="1">
      <alignment horizontal="center"/>
      <protection locked="0"/>
    </xf>
    <xf numFmtId="0" fontId="22" fillId="0" borderId="2" xfId="0" applyFont="1" applyBorder="1" applyAlignment="1">
      <alignment horizontal="center"/>
    </xf>
    <xf numFmtId="164" fontId="23" fillId="10" borderId="2" xfId="1" applyNumberFormat="1" applyFont="1" applyFill="1" applyBorder="1" applyProtection="1"/>
    <xf numFmtId="37" fontId="23" fillId="10" borderId="0" xfId="1" applyNumberFormat="1" applyFont="1" applyFill="1" applyBorder="1" applyProtection="1"/>
    <xf numFmtId="0" fontId="27" fillId="13" borderId="0" xfId="0" applyFont="1" applyFill="1" applyProtection="1">
      <protection locked="0"/>
    </xf>
    <xf numFmtId="2" fontId="27" fillId="13" borderId="0" xfId="0" applyNumberFormat="1" applyFont="1" applyFill="1" applyProtection="1">
      <protection locked="0"/>
    </xf>
    <xf numFmtId="0" fontId="22" fillId="0" borderId="6" xfId="0" applyFont="1" applyBorder="1"/>
    <xf numFmtId="43" fontId="25" fillId="0" borderId="6" xfId="1" applyFont="1" applyBorder="1" applyAlignment="1" applyProtection="1">
      <alignment horizontal="center" wrapText="1"/>
      <protection locked="0"/>
    </xf>
    <xf numFmtId="0" fontId="24" fillId="0" borderId="28" xfId="0" applyFont="1" applyBorder="1" applyAlignment="1">
      <alignment horizontal="center" wrapText="1"/>
    </xf>
    <xf numFmtId="171" fontId="0" fillId="7" borderId="0" xfId="0" applyNumberFormat="1" applyFill="1"/>
    <xf numFmtId="0" fontId="0" fillId="0" borderId="0" xfId="0" applyAlignment="1">
      <alignment horizontal="center"/>
    </xf>
    <xf numFmtId="37" fontId="0" fillId="14" borderId="0" xfId="0" applyNumberFormat="1" applyFill="1"/>
    <xf numFmtId="0" fontId="15" fillId="7" borderId="0" xfId="0" applyFont="1" applyFill="1"/>
    <xf numFmtId="172" fontId="0" fillId="14" borderId="0" xfId="0" applyNumberFormat="1" applyFill="1"/>
    <xf numFmtId="0" fontId="0" fillId="14" borderId="1" xfId="0" applyFill="1" applyBorder="1"/>
    <xf numFmtId="37" fontId="0" fillId="14" borderId="1" xfId="0" applyNumberFormat="1" applyFill="1" applyBorder="1"/>
    <xf numFmtId="37" fontId="0" fillId="7" borderId="0" xfId="0" applyNumberFormat="1" applyFill="1"/>
    <xf numFmtId="3" fontId="0" fillId="14" borderId="0" xfId="0" applyNumberFormat="1" applyFill="1" applyAlignment="1">
      <alignment horizontal="center" vertical="center"/>
    </xf>
    <xf numFmtId="9" fontId="0" fillId="7" borderId="0" xfId="4" applyFont="1" applyFill="1"/>
    <xf numFmtId="9" fontId="0" fillId="14" borderId="2" xfId="4" applyFont="1" applyFill="1" applyBorder="1"/>
    <xf numFmtId="4" fontId="0" fillId="14" borderId="0" xfId="0" applyNumberFormat="1" applyFill="1" applyAlignment="1">
      <alignment horizontal="center" vertical="center"/>
    </xf>
    <xf numFmtId="164" fontId="1" fillId="12" borderId="2" xfId="1" applyNumberFormat="1" applyFont="1" applyFill="1" applyBorder="1" applyProtection="1">
      <protection locked="0"/>
    </xf>
    <xf numFmtId="9" fontId="1" fillId="12" borderId="2" xfId="1" applyNumberFormat="1" applyFont="1" applyFill="1" applyBorder="1" applyProtection="1">
      <protection locked="0"/>
    </xf>
    <xf numFmtId="44" fontId="1" fillId="12" borderId="2" xfId="2" applyFont="1" applyFill="1" applyBorder="1" applyProtection="1">
      <protection locked="0"/>
    </xf>
    <xf numFmtId="165" fontId="1" fillId="12" borderId="2" xfId="2" applyNumberFormat="1" applyFont="1" applyFill="1" applyBorder="1" applyProtection="1">
      <protection locked="0"/>
    </xf>
    <xf numFmtId="7" fontId="9" fillId="0" borderId="0" xfId="0" applyNumberFormat="1" applyFont="1"/>
    <xf numFmtId="0" fontId="29" fillId="16" borderId="0" xfId="0" applyFont="1" applyFill="1" applyAlignment="1">
      <alignment horizontal="center"/>
    </xf>
    <xf numFmtId="7" fontId="5" fillId="0" borderId="0" xfId="0" applyNumberFormat="1" applyFont="1" applyAlignment="1">
      <alignment horizontal="center"/>
    </xf>
    <xf numFmtId="9" fontId="6" fillId="0" borderId="6" xfId="3" applyNumberFormat="1" applyFont="1" applyFill="1" applyBorder="1" applyAlignment="1">
      <alignment horizontal="center"/>
    </xf>
    <xf numFmtId="0" fontId="15" fillId="0" borderId="2" xfId="0" applyFont="1" applyBorder="1" applyProtection="1">
      <protection locked="0"/>
    </xf>
    <xf numFmtId="0" fontId="0" fillId="0" borderId="2" xfId="0" applyBorder="1" applyAlignment="1" applyProtection="1">
      <alignment horizontal="center"/>
      <protection locked="0"/>
    </xf>
    <xf numFmtId="37" fontId="23" fillId="10" borderId="2" xfId="1" applyNumberFormat="1" applyFont="1" applyFill="1" applyBorder="1" applyProtection="1"/>
    <xf numFmtId="9" fontId="9" fillId="0" borderId="0" xfId="0" applyNumberFormat="1" applyFont="1"/>
    <xf numFmtId="0" fontId="30" fillId="3" borderId="2" xfId="0" applyFont="1" applyFill="1" applyBorder="1" applyAlignment="1">
      <alignment horizontal="center" wrapText="1"/>
    </xf>
    <xf numFmtId="44" fontId="30" fillId="3" borderId="2" xfId="3" applyFont="1" applyFill="1" applyBorder="1" applyAlignment="1">
      <alignment horizontal="center" wrapText="1"/>
    </xf>
    <xf numFmtId="0" fontId="12" fillId="3" borderId="2" xfId="0" applyFont="1" applyFill="1" applyBorder="1" applyAlignment="1">
      <alignment horizontal="center" wrapText="1"/>
    </xf>
    <xf numFmtId="0" fontId="12" fillId="3" borderId="35" xfId="0" applyFont="1" applyFill="1" applyBorder="1" applyAlignment="1">
      <alignment horizontal="center" vertical="center" wrapText="1"/>
    </xf>
    <xf numFmtId="0" fontId="12" fillId="3" borderId="40" xfId="0" applyFont="1" applyFill="1" applyBorder="1" applyAlignment="1">
      <alignment horizontal="center" wrapText="1"/>
    </xf>
    <xf numFmtId="0" fontId="12" fillId="3" borderId="39" xfId="0" applyFont="1" applyFill="1" applyBorder="1" applyAlignment="1">
      <alignment horizontal="center" vertical="center" wrapText="1"/>
    </xf>
    <xf numFmtId="0" fontId="12" fillId="3" borderId="43" xfId="0" applyFont="1" applyFill="1" applyBorder="1" applyAlignment="1">
      <alignment horizontal="center" vertical="center" wrapText="1"/>
    </xf>
    <xf numFmtId="7" fontId="30" fillId="3" borderId="14" xfId="3" applyNumberFormat="1" applyFont="1" applyFill="1" applyBorder="1" applyAlignment="1">
      <alignment horizontal="center" vertical="center"/>
    </xf>
    <xf numFmtId="7" fontId="30" fillId="3" borderId="14" xfId="3" applyNumberFormat="1" applyFont="1" applyFill="1" applyBorder="1" applyAlignment="1">
      <alignment horizontal="center" vertical="center" wrapText="1"/>
    </xf>
    <xf numFmtId="7" fontId="12" fillId="3" borderId="14" xfId="3" applyNumberFormat="1" applyFont="1" applyFill="1" applyBorder="1" applyAlignment="1">
      <alignment horizontal="center" vertical="center" wrapText="1"/>
    </xf>
    <xf numFmtId="7" fontId="12" fillId="3" borderId="44" xfId="3" applyNumberFormat="1" applyFont="1" applyFill="1" applyBorder="1" applyAlignment="1">
      <alignment horizontal="center" vertical="center" wrapText="1"/>
    </xf>
    <xf numFmtId="43" fontId="24" fillId="10" borderId="14" xfId="1" applyFont="1" applyFill="1" applyBorder="1" applyProtection="1"/>
    <xf numFmtId="0" fontId="22" fillId="0" borderId="0" xfId="0" applyFont="1" applyAlignment="1">
      <alignment horizontal="right"/>
    </xf>
    <xf numFmtId="44" fontId="5" fillId="2" borderId="2" xfId="2" applyFont="1" applyFill="1" applyBorder="1" applyAlignment="1">
      <alignment horizontal="center"/>
    </xf>
    <xf numFmtId="37" fontId="5" fillId="14" borderId="2" xfId="0" applyNumberFormat="1" applyFont="1" applyFill="1" applyBorder="1" applyAlignment="1">
      <alignment horizontal="center" wrapText="1"/>
    </xf>
    <xf numFmtId="3" fontId="0" fillId="0" borderId="0" xfId="0" applyNumberFormat="1"/>
    <xf numFmtId="0" fontId="0" fillId="0" borderId="0" xfId="0" applyAlignment="1">
      <alignment horizontal="center" vertical="center"/>
    </xf>
    <xf numFmtId="0" fontId="0" fillId="0" borderId="0" xfId="0" applyAlignment="1">
      <alignment horizontal="right"/>
    </xf>
    <xf numFmtId="9" fontId="0" fillId="7" borderId="0" xfId="0" applyNumberFormat="1" applyFill="1"/>
    <xf numFmtId="9" fontId="0" fillId="0" borderId="0" xfId="0" applyNumberFormat="1"/>
    <xf numFmtId="0" fontId="31" fillId="0" borderId="0" xfId="0" applyFont="1" applyAlignment="1">
      <alignment wrapText="1"/>
    </xf>
    <xf numFmtId="0" fontId="32" fillId="0" borderId="0" xfId="0" applyFont="1" applyAlignment="1">
      <alignment wrapText="1"/>
    </xf>
    <xf numFmtId="168" fontId="15" fillId="0" borderId="0" xfId="0" applyNumberFormat="1" applyFont="1"/>
    <xf numFmtId="0" fontId="5" fillId="0" borderId="0" xfId="0" applyFont="1" applyAlignment="1">
      <alignment horizontal="center" wrapText="1"/>
    </xf>
    <xf numFmtId="0" fontId="5" fillId="0" borderId="5" xfId="0" applyFont="1" applyBorder="1" applyAlignment="1">
      <alignment horizontal="center" wrapText="1"/>
    </xf>
    <xf numFmtId="0" fontId="5" fillId="3" borderId="2" xfId="0" applyFont="1" applyFill="1" applyBorder="1" applyAlignment="1">
      <alignment horizontal="center"/>
    </xf>
    <xf numFmtId="0" fontId="5" fillId="8" borderId="2" xfId="6" applyFont="1" applyBorder="1" applyAlignment="1">
      <alignment horizontal="center"/>
    </xf>
    <xf numFmtId="166" fontId="5" fillId="3" borderId="12" xfId="0" applyNumberFormat="1" applyFont="1" applyFill="1" applyBorder="1" applyAlignment="1">
      <alignment horizontal="left"/>
    </xf>
    <xf numFmtId="166" fontId="5" fillId="3" borderId="9" xfId="0" applyNumberFormat="1" applyFont="1" applyFill="1" applyBorder="1" applyAlignment="1">
      <alignment horizontal="left"/>
    </xf>
    <xf numFmtId="0" fontId="5" fillId="0" borderId="0" xfId="0" applyFont="1" applyAlignment="1">
      <alignment horizontal="center" wrapText="1"/>
    </xf>
    <xf numFmtId="0" fontId="5" fillId="0" borderId="5" xfId="0" applyFont="1" applyBorder="1" applyAlignment="1">
      <alignment horizontal="center" wrapText="1"/>
    </xf>
    <xf numFmtId="0" fontId="5" fillId="3" borderId="13" xfId="0" quotePrefix="1" applyFont="1" applyFill="1" applyBorder="1" applyAlignment="1">
      <alignment horizontal="center" wrapText="1"/>
    </xf>
    <xf numFmtId="0" fontId="5" fillId="3" borderId="24" xfId="0" quotePrefix="1"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4" borderId="25" xfId="0" applyFont="1" applyFill="1" applyBorder="1" applyAlignment="1">
      <alignment horizontal="center"/>
    </xf>
    <xf numFmtId="0" fontId="5" fillId="4" borderId="26" xfId="0" applyFont="1" applyFill="1" applyBorder="1" applyAlignment="1">
      <alignment horizontal="center"/>
    </xf>
    <xf numFmtId="0" fontId="5" fillId="4" borderId="27" xfId="0" applyFont="1" applyFill="1" applyBorder="1" applyAlignment="1">
      <alignment horizontal="center"/>
    </xf>
    <xf numFmtId="0" fontId="5" fillId="3" borderId="2" xfId="0" applyFont="1" applyFill="1" applyBorder="1" applyAlignment="1">
      <alignment horizontal="center"/>
    </xf>
    <xf numFmtId="0" fontId="30" fillId="3" borderId="36" xfId="0" applyFont="1" applyFill="1" applyBorder="1" applyAlignment="1">
      <alignment horizontal="center" vertical="center"/>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5" fillId="8" borderId="32" xfId="6" applyFont="1" applyBorder="1" applyAlignment="1">
      <alignment horizontal="center"/>
    </xf>
    <xf numFmtId="0" fontId="5" fillId="8" borderId="33" xfId="6" applyFont="1" applyBorder="1" applyAlignment="1">
      <alignment horizontal="center"/>
    </xf>
    <xf numFmtId="0" fontId="5" fillId="8" borderId="34" xfId="6" applyFont="1" applyBorder="1" applyAlignment="1">
      <alignment horizontal="center"/>
    </xf>
    <xf numFmtId="0" fontId="5" fillId="8" borderId="8" xfId="6" applyFont="1" applyBorder="1" applyAlignment="1">
      <alignment horizontal="center"/>
    </xf>
    <xf numFmtId="0" fontId="5" fillId="8" borderId="9" xfId="6" applyFont="1" applyBorder="1" applyAlignment="1">
      <alignment horizontal="center"/>
    </xf>
    <xf numFmtId="0" fontId="5" fillId="8" borderId="2" xfId="6" applyFont="1" applyBorder="1" applyAlignment="1">
      <alignment horizontal="center"/>
    </xf>
    <xf numFmtId="0" fontId="5" fillId="8" borderId="12" xfId="6" applyFont="1" applyBorder="1" applyAlignment="1">
      <alignment horizontal="center"/>
    </xf>
  </cellXfs>
  <cellStyles count="11">
    <cellStyle name="Comma" xfId="1" builtinId="3"/>
    <cellStyle name="Comma 2" xfId="10" xr:uid="{88E5496F-9409-4D7A-9343-6ACBF934BF51}"/>
    <cellStyle name="Comma 3" xfId="8" xr:uid="{01486B8D-620C-4B29-869A-6E3E1CF516C6}"/>
    <cellStyle name="Currency" xfId="2" builtinId="4"/>
    <cellStyle name="Currency 2" xfId="3" xr:uid="{00000000-0005-0000-0000-000002000000}"/>
    <cellStyle name="Good" xfId="6" builtinId="26"/>
    <cellStyle name="Normal" xfId="0" builtinId="0"/>
    <cellStyle name="Normal 3" xfId="5" xr:uid="{00000000-0005-0000-0000-000005000000}"/>
    <cellStyle name="Normal 5" xfId="7" xr:uid="{5CEAE02D-F17F-4EF5-A50C-A48C792A3236}"/>
    <cellStyle name="Percent" xfId="4" builtinId="5"/>
    <cellStyle name="Percent 2" xfId="9" xr:uid="{FD5AA7EA-EDAE-4E39-A225-5054A8898364}"/>
  </cellStyles>
  <dxfs count="2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ont>
        <b/>
        <i val="0"/>
        <color theme="0"/>
      </font>
      <fill>
        <patternFill>
          <bgColor rgb="FFFF0000"/>
        </patternFill>
      </fill>
    </dxf>
    <dxf>
      <font>
        <b/>
        <i val="0"/>
        <color auto="1"/>
      </font>
      <fill>
        <patternFill>
          <bgColor theme="6" tint="0.39994506668294322"/>
        </patternFill>
      </fill>
    </dxf>
    <dxf>
      <font>
        <b/>
        <i val="0"/>
        <color theme="0"/>
      </font>
      <fill>
        <patternFill>
          <bgColor rgb="FFFF0000"/>
        </patternFill>
      </fill>
    </dxf>
    <dxf>
      <font>
        <b/>
        <i val="0"/>
        <color auto="1"/>
      </font>
      <fill>
        <patternFill>
          <bgColor theme="6" tint="0.3999450666829432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3505200</xdr:colOff>
      <xdr:row>0</xdr:row>
      <xdr:rowOff>304800</xdr:rowOff>
    </xdr:from>
    <xdr:to>
      <xdr:col>1</xdr:col>
      <xdr:colOff>2040</xdr:colOff>
      <xdr:row>0</xdr:row>
      <xdr:rowOff>1308100</xdr:rowOff>
    </xdr:to>
    <xdr:pic>
      <xdr:nvPicPr>
        <xdr:cNvPr id="2" name="Picture 1">
          <a:extLst>
            <a:ext uri="{FF2B5EF4-FFF2-40B4-BE49-F238E27FC236}">
              <a16:creationId xmlns:a16="http://schemas.microsoft.com/office/drawing/2014/main" id="{1579D6E8-9CD1-0B48-BED6-C2F1629ABD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0" y="304800"/>
          <a:ext cx="4031115" cy="1003300"/>
        </a:xfrm>
        <a:prstGeom prst="rect">
          <a:avLst/>
        </a:prstGeom>
      </xdr:spPr>
    </xdr:pic>
    <xdr:clientData/>
  </xdr:twoCellAnchor>
  <xdr:twoCellAnchor editAs="oneCell">
    <xdr:from>
      <xdr:col>0</xdr:col>
      <xdr:colOff>0</xdr:colOff>
      <xdr:row>0</xdr:row>
      <xdr:rowOff>50800</xdr:rowOff>
    </xdr:from>
    <xdr:to>
      <xdr:col>0</xdr:col>
      <xdr:colOff>3510130</xdr:colOff>
      <xdr:row>0</xdr:row>
      <xdr:rowOff>1562100</xdr:rowOff>
    </xdr:to>
    <xdr:pic>
      <xdr:nvPicPr>
        <xdr:cNvPr id="3" name="Picture 2">
          <a:extLst>
            <a:ext uri="{FF2B5EF4-FFF2-40B4-BE49-F238E27FC236}">
              <a16:creationId xmlns:a16="http://schemas.microsoft.com/office/drawing/2014/main" id="{6BBB5FA5-B122-BD42-A2E9-D194B00D25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0800"/>
          <a:ext cx="3510130" cy="1511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48</xdr:row>
      <xdr:rowOff>406400</xdr:rowOff>
    </xdr:from>
    <xdr:to>
      <xdr:col>1</xdr:col>
      <xdr:colOff>2409825</xdr:colOff>
      <xdr:row>48</xdr:row>
      <xdr:rowOff>1343727</xdr:rowOff>
    </xdr:to>
    <xdr:pic>
      <xdr:nvPicPr>
        <xdr:cNvPr id="4" name="Picture 3">
          <a:extLst>
            <a:ext uri="{FF2B5EF4-FFF2-40B4-BE49-F238E27FC236}">
              <a16:creationId xmlns:a16="http://schemas.microsoft.com/office/drawing/2014/main" id="{11643EB6-A663-3848-84AA-1815609E30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9550400"/>
          <a:ext cx="2184400" cy="940502"/>
        </a:xfrm>
        <a:prstGeom prst="rect">
          <a:avLst/>
        </a:prstGeom>
      </xdr:spPr>
    </xdr:pic>
    <xdr:clientData/>
  </xdr:twoCellAnchor>
  <xdr:twoCellAnchor editAs="oneCell">
    <xdr:from>
      <xdr:col>1</xdr:col>
      <xdr:colOff>2755900</xdr:colOff>
      <xdr:row>48</xdr:row>
      <xdr:rowOff>508000</xdr:rowOff>
    </xdr:from>
    <xdr:to>
      <xdr:col>2</xdr:col>
      <xdr:colOff>2683</xdr:colOff>
      <xdr:row>48</xdr:row>
      <xdr:rowOff>1226994</xdr:rowOff>
    </xdr:to>
    <xdr:pic>
      <xdr:nvPicPr>
        <xdr:cNvPr id="5" name="Picture 4">
          <a:extLst>
            <a:ext uri="{FF2B5EF4-FFF2-40B4-BE49-F238E27FC236}">
              <a16:creationId xmlns:a16="http://schemas.microsoft.com/office/drawing/2014/main" id="{6910D9AB-35AB-6647-9518-3E0E41A647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5900" y="9652000"/>
          <a:ext cx="2876058" cy="715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84667</xdr:colOff>
      <xdr:row>58</xdr:row>
      <xdr:rowOff>169334</xdr:rowOff>
    </xdr:from>
    <xdr:to>
      <xdr:col>1</xdr:col>
      <xdr:colOff>2269067</xdr:colOff>
      <xdr:row>58</xdr:row>
      <xdr:rowOff>1109836</xdr:rowOff>
    </xdr:to>
    <xdr:pic>
      <xdr:nvPicPr>
        <xdr:cNvPr id="5" name="Picture 4">
          <a:extLst>
            <a:ext uri="{FF2B5EF4-FFF2-40B4-BE49-F238E27FC236}">
              <a16:creationId xmlns:a16="http://schemas.microsoft.com/office/drawing/2014/main" id="{E062604C-28E4-EA45-BC29-CBF40F7AC3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0" y="12158134"/>
          <a:ext cx="2184400" cy="940502"/>
        </a:xfrm>
        <a:prstGeom prst="rect">
          <a:avLst/>
        </a:prstGeom>
      </xdr:spPr>
    </xdr:pic>
    <xdr:clientData/>
  </xdr:twoCellAnchor>
  <xdr:twoCellAnchor editAs="oneCell">
    <xdr:from>
      <xdr:col>1</xdr:col>
      <xdr:colOff>2336800</xdr:colOff>
      <xdr:row>58</xdr:row>
      <xdr:rowOff>372534</xdr:rowOff>
    </xdr:from>
    <xdr:to>
      <xdr:col>2</xdr:col>
      <xdr:colOff>3176</xdr:colOff>
      <xdr:row>58</xdr:row>
      <xdr:rowOff>966504</xdr:rowOff>
    </xdr:to>
    <xdr:pic>
      <xdr:nvPicPr>
        <xdr:cNvPr id="6" name="Picture 5">
          <a:extLst>
            <a:ext uri="{FF2B5EF4-FFF2-40B4-BE49-F238E27FC236}">
              <a16:creationId xmlns:a16="http://schemas.microsoft.com/office/drawing/2014/main" id="{04611CE5-9CDC-CF42-A295-01A7848F8B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7733" y="12361334"/>
          <a:ext cx="2438401" cy="593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1962729</xdr:colOff>
      <xdr:row>43</xdr:row>
      <xdr:rowOff>207821</xdr:rowOff>
    </xdr:from>
    <xdr:to>
      <xdr:col>0</xdr:col>
      <xdr:colOff>3496325</xdr:colOff>
      <xdr:row>43</xdr:row>
      <xdr:rowOff>678007</xdr:rowOff>
    </xdr:to>
    <xdr:pic>
      <xdr:nvPicPr>
        <xdr:cNvPr id="4" name="Picture 3">
          <a:extLst>
            <a:ext uri="{FF2B5EF4-FFF2-40B4-BE49-F238E27FC236}">
              <a16:creationId xmlns:a16="http://schemas.microsoft.com/office/drawing/2014/main" id="{273343BC-E5D6-7640-BB3A-487EC42714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2729" y="9444185"/>
          <a:ext cx="1901896" cy="473361"/>
        </a:xfrm>
        <a:prstGeom prst="rect">
          <a:avLst/>
        </a:prstGeom>
      </xdr:spPr>
    </xdr:pic>
    <xdr:clientData/>
  </xdr:twoCellAnchor>
  <xdr:twoCellAnchor editAs="oneCell">
    <xdr:from>
      <xdr:col>0</xdr:col>
      <xdr:colOff>277090</xdr:colOff>
      <xdr:row>43</xdr:row>
      <xdr:rowOff>161636</xdr:rowOff>
    </xdr:from>
    <xdr:to>
      <xdr:col>0</xdr:col>
      <xdr:colOff>1607992</xdr:colOff>
      <xdr:row>43</xdr:row>
      <xdr:rowOff>736469</xdr:rowOff>
    </xdr:to>
    <xdr:pic>
      <xdr:nvPicPr>
        <xdr:cNvPr id="5" name="Picture 4">
          <a:extLst>
            <a:ext uri="{FF2B5EF4-FFF2-40B4-BE49-F238E27FC236}">
              <a16:creationId xmlns:a16="http://schemas.microsoft.com/office/drawing/2014/main" id="{C510BD2F-C132-9341-AE89-21E2485DBE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090" y="9398000"/>
          <a:ext cx="1327727" cy="5716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22</xdr:row>
      <xdr:rowOff>139700</xdr:rowOff>
    </xdr:from>
    <xdr:to>
      <xdr:col>1</xdr:col>
      <xdr:colOff>1774687</xdr:colOff>
      <xdr:row>22</xdr:row>
      <xdr:rowOff>876458</xdr:rowOff>
    </xdr:to>
    <xdr:pic>
      <xdr:nvPicPr>
        <xdr:cNvPr id="4" name="Picture 3">
          <a:extLst>
            <a:ext uri="{FF2B5EF4-FFF2-40B4-BE49-F238E27FC236}">
              <a16:creationId xmlns:a16="http://schemas.microsoft.com/office/drawing/2014/main" id="{BA5D1BF5-C80E-9544-8278-302C18D9D4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4356100"/>
          <a:ext cx="1711187" cy="736758"/>
        </a:xfrm>
        <a:prstGeom prst="rect">
          <a:avLst/>
        </a:prstGeom>
      </xdr:spPr>
    </xdr:pic>
    <xdr:clientData/>
  </xdr:twoCellAnchor>
  <xdr:twoCellAnchor editAs="oneCell">
    <xdr:from>
      <xdr:col>1</xdr:col>
      <xdr:colOff>1828800</xdr:colOff>
      <xdr:row>22</xdr:row>
      <xdr:rowOff>279400</xdr:rowOff>
    </xdr:from>
    <xdr:to>
      <xdr:col>1</xdr:col>
      <xdr:colOff>3292546</xdr:colOff>
      <xdr:row>22</xdr:row>
      <xdr:rowOff>752761</xdr:rowOff>
    </xdr:to>
    <xdr:pic>
      <xdr:nvPicPr>
        <xdr:cNvPr id="5" name="Picture 4">
          <a:extLst>
            <a:ext uri="{FF2B5EF4-FFF2-40B4-BE49-F238E27FC236}">
              <a16:creationId xmlns:a16="http://schemas.microsoft.com/office/drawing/2014/main" id="{AE9C780F-5C88-2C42-9B5E-11AF9DA285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8800" y="4495800"/>
          <a:ext cx="1901896" cy="4733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4F58-9179-5C43-A2E3-0B60E8BCCD57}">
  <dimension ref="A1:A3"/>
  <sheetViews>
    <sheetView tabSelected="1" zoomScale="70" zoomScaleNormal="70" workbookViewId="0">
      <selection activeCell="A21" sqref="A21"/>
    </sheetView>
  </sheetViews>
  <sheetFormatPr defaultColWidth="11.54296875" defaultRowHeight="14.5" x14ac:dyDescent="0.35"/>
  <cols>
    <col min="1" max="1" width="99.453125" customWidth="1"/>
  </cols>
  <sheetData>
    <row r="1" spans="1:1" ht="127" customHeight="1" x14ac:dyDescent="0.35"/>
    <row r="2" spans="1:1" ht="26" x14ac:dyDescent="0.6">
      <c r="A2" s="209" t="s">
        <v>0</v>
      </c>
    </row>
    <row r="3" spans="1:1" ht="165" customHeight="1" x14ac:dyDescent="0.4">
      <c r="A3" s="210"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B70B0-8334-4F51-9A20-D9F6EA2ED7CD}">
  <dimension ref="B1:E49"/>
  <sheetViews>
    <sheetView zoomScale="85" zoomScaleNormal="85" workbookViewId="0">
      <selection activeCell="H10" sqref="H10"/>
    </sheetView>
  </sheetViews>
  <sheetFormatPr defaultColWidth="8.81640625" defaultRowHeight="14.5" x14ac:dyDescent="0.35"/>
  <cols>
    <col min="2" max="2" width="74.453125" customWidth="1"/>
    <col min="3" max="3" width="12.1796875" style="205" customWidth="1"/>
  </cols>
  <sheetData>
    <row r="1" spans="2:5" x14ac:dyDescent="0.35">
      <c r="B1" t="s">
        <v>2</v>
      </c>
      <c r="C1" s="205" t="s">
        <v>3</v>
      </c>
      <c r="D1" s="166" t="s">
        <v>4</v>
      </c>
      <c r="E1" s="166" t="s">
        <v>5</v>
      </c>
    </row>
    <row r="2" spans="2:5" x14ac:dyDescent="0.35">
      <c r="D2" s="166" t="s">
        <v>6</v>
      </c>
    </row>
    <row r="3" spans="2:5" x14ac:dyDescent="0.35">
      <c r="B3" t="s">
        <v>7</v>
      </c>
      <c r="C3" s="205">
        <v>90791</v>
      </c>
      <c r="D3" s="207">
        <v>0</v>
      </c>
      <c r="E3" s="141">
        <f>ROUND('Expense Calculator and Summary'!G$5*D3,0)</f>
        <v>0</v>
      </c>
    </row>
    <row r="4" spans="2:5" x14ac:dyDescent="0.35">
      <c r="B4" t="s">
        <v>8</v>
      </c>
      <c r="C4" s="205">
        <v>90792</v>
      </c>
      <c r="D4" s="207">
        <v>0</v>
      </c>
      <c r="E4" s="141">
        <f>ROUND('Expense Calculator and Summary'!G$5*D4,0)</f>
        <v>0</v>
      </c>
    </row>
    <row r="5" spans="2:5" x14ac:dyDescent="0.35">
      <c r="B5" t="s">
        <v>9</v>
      </c>
      <c r="C5" s="205" t="s">
        <v>10</v>
      </c>
      <c r="D5" s="207">
        <v>0</v>
      </c>
      <c r="E5" s="141">
        <f>ROUND('Expense Calculator and Summary'!G$5*D5,0)</f>
        <v>0</v>
      </c>
    </row>
    <row r="6" spans="2:5" x14ac:dyDescent="0.35">
      <c r="B6" t="s">
        <v>11</v>
      </c>
      <c r="C6" s="205">
        <v>90833</v>
      </c>
      <c r="D6" s="207">
        <v>0</v>
      </c>
      <c r="E6" s="141">
        <f>ROUND('Expense Calculator and Summary'!G$5*D6,0)</f>
        <v>0</v>
      </c>
    </row>
    <row r="7" spans="2:5" x14ac:dyDescent="0.35">
      <c r="B7" t="s">
        <v>12</v>
      </c>
      <c r="C7" s="205" t="s">
        <v>10</v>
      </c>
      <c r="D7" s="207">
        <v>0</v>
      </c>
      <c r="E7" s="141">
        <f>ROUND('Expense Calculator and Summary'!G$5*D7,0)</f>
        <v>0</v>
      </c>
    </row>
    <row r="8" spans="2:5" x14ac:dyDescent="0.35">
      <c r="B8" t="s">
        <v>13</v>
      </c>
      <c r="C8" s="205">
        <v>90836</v>
      </c>
      <c r="D8" s="207">
        <v>0</v>
      </c>
      <c r="E8" s="141">
        <f>ROUND('Expense Calculator and Summary'!G$5*D8,0)</f>
        <v>0</v>
      </c>
    </row>
    <row r="9" spans="2:5" x14ac:dyDescent="0.35">
      <c r="B9" t="s">
        <v>14</v>
      </c>
      <c r="C9" s="205" t="s">
        <v>10</v>
      </c>
      <c r="D9" s="207">
        <v>0</v>
      </c>
      <c r="E9" s="141">
        <f>ROUND('Expense Calculator and Summary'!G$5*D9,0)</f>
        <v>0</v>
      </c>
    </row>
    <row r="10" spans="2:5" x14ac:dyDescent="0.35">
      <c r="B10" t="s">
        <v>15</v>
      </c>
      <c r="C10" s="205" t="s">
        <v>16</v>
      </c>
      <c r="D10" s="207">
        <v>0</v>
      </c>
      <c r="E10" s="141">
        <f>ROUND('Expense Calculator and Summary'!G$5*D10,0)</f>
        <v>0</v>
      </c>
    </row>
    <row r="11" spans="2:5" x14ac:dyDescent="0.35">
      <c r="B11" t="s">
        <v>17</v>
      </c>
      <c r="C11" s="205" t="s">
        <v>18</v>
      </c>
      <c r="D11" s="207">
        <v>0</v>
      </c>
      <c r="E11" s="141">
        <f>ROUND('Expense Calculator and Summary'!G$5*D11,0)</f>
        <v>0</v>
      </c>
    </row>
    <row r="12" spans="2:5" x14ac:dyDescent="0.35">
      <c r="B12" t="s">
        <v>19</v>
      </c>
      <c r="C12" s="205" t="s">
        <v>20</v>
      </c>
      <c r="D12" s="207">
        <v>0</v>
      </c>
      <c r="E12" s="141">
        <f>ROUND('Expense Calculator and Summary'!G$5*D12,0)</f>
        <v>0</v>
      </c>
    </row>
    <row r="13" spans="2:5" x14ac:dyDescent="0.35">
      <c r="B13" t="s">
        <v>21</v>
      </c>
      <c r="C13" s="205" t="s">
        <v>22</v>
      </c>
      <c r="D13" s="207">
        <v>0</v>
      </c>
      <c r="E13" s="141">
        <f>ROUND('Expense Calculator and Summary'!G$5*D13,0)</f>
        <v>0</v>
      </c>
    </row>
    <row r="14" spans="2:5" x14ac:dyDescent="0.35">
      <c r="B14" t="s">
        <v>23</v>
      </c>
      <c r="C14" s="205">
        <v>96372</v>
      </c>
      <c r="D14" s="207">
        <v>0</v>
      </c>
      <c r="E14" s="141">
        <f>ROUND('Expense Calculator and Summary'!G$5*D14,0)</f>
        <v>0</v>
      </c>
    </row>
    <row r="15" spans="2:5" x14ac:dyDescent="0.35">
      <c r="B15" t="s">
        <v>24</v>
      </c>
      <c r="C15" s="205" t="s">
        <v>10</v>
      </c>
      <c r="D15" s="207">
        <v>0</v>
      </c>
      <c r="E15" s="141">
        <f>ROUND('Expense Calculator and Summary'!G$5*D15,0)</f>
        <v>0</v>
      </c>
    </row>
    <row r="16" spans="2:5" x14ac:dyDescent="0.35">
      <c r="B16" t="s">
        <v>25</v>
      </c>
      <c r="C16" s="205">
        <v>90832</v>
      </c>
      <c r="D16" s="207">
        <v>0</v>
      </c>
      <c r="E16" s="141">
        <f>ROUND('Expense Calculator and Summary'!G$5*D16,0)</f>
        <v>0</v>
      </c>
    </row>
    <row r="17" spans="2:5" x14ac:dyDescent="0.35">
      <c r="B17" t="s">
        <v>26</v>
      </c>
      <c r="C17" s="205">
        <v>90834</v>
      </c>
      <c r="D17" s="207">
        <v>0</v>
      </c>
      <c r="E17" s="141">
        <f>ROUND('Expense Calculator and Summary'!G$5*D17,0)</f>
        <v>0</v>
      </c>
    </row>
    <row r="18" spans="2:5" x14ac:dyDescent="0.35">
      <c r="B18" t="s">
        <v>27</v>
      </c>
      <c r="C18" s="205">
        <v>90846</v>
      </c>
      <c r="D18" s="207">
        <v>0</v>
      </c>
      <c r="E18" s="141">
        <f>ROUND('Expense Calculator and Summary'!G$5*D18,0)</f>
        <v>0</v>
      </c>
    </row>
    <row r="19" spans="2:5" x14ac:dyDescent="0.35">
      <c r="B19" t="s">
        <v>28</v>
      </c>
      <c r="C19" s="205">
        <v>90847</v>
      </c>
      <c r="D19" s="207">
        <v>0</v>
      </c>
      <c r="E19" s="141">
        <f>ROUND('Expense Calculator and Summary'!G$5*D19,0)</f>
        <v>0</v>
      </c>
    </row>
    <row r="20" spans="2:5" x14ac:dyDescent="0.35">
      <c r="B20" t="s">
        <v>29</v>
      </c>
      <c r="C20" s="205">
        <v>90849</v>
      </c>
      <c r="D20" s="207">
        <v>0</v>
      </c>
      <c r="E20" s="141">
        <f>ROUND('Expense Calculator and Summary'!G$5*D20,0)</f>
        <v>0</v>
      </c>
    </row>
    <row r="21" spans="2:5" x14ac:dyDescent="0.35">
      <c r="B21" t="s">
        <v>30</v>
      </c>
      <c r="C21" s="205">
        <v>90853</v>
      </c>
      <c r="D21" s="207">
        <v>0</v>
      </c>
      <c r="E21" s="141">
        <f>ROUND('Expense Calculator and Summary'!G$5*D21,0)</f>
        <v>0</v>
      </c>
    </row>
    <row r="22" spans="2:5" x14ac:dyDescent="0.35">
      <c r="B22" t="s">
        <v>31</v>
      </c>
      <c r="C22" s="205">
        <v>90853</v>
      </c>
      <c r="D22" s="207">
        <v>0</v>
      </c>
      <c r="E22" s="141">
        <f>ROUND('Expense Calculator and Summary'!G$5*D22,0)</f>
        <v>0</v>
      </c>
    </row>
    <row r="23" spans="2:5" x14ac:dyDescent="0.35">
      <c r="B23" t="s">
        <v>32</v>
      </c>
      <c r="C23" s="205" t="s">
        <v>33</v>
      </c>
      <c r="D23" s="207">
        <v>0</v>
      </c>
      <c r="E23" s="141">
        <f>ROUND('Expense Calculator and Summary'!G$5*D23,0)</f>
        <v>0</v>
      </c>
    </row>
    <row r="24" spans="2:5" x14ac:dyDescent="0.35">
      <c r="B24" t="s">
        <v>34</v>
      </c>
      <c r="C24" s="205" t="s">
        <v>35</v>
      </c>
      <c r="D24" s="207">
        <v>0</v>
      </c>
      <c r="E24" s="141">
        <f>ROUND('Expense Calculator and Summary'!G$5*D24,0)</f>
        <v>0</v>
      </c>
    </row>
    <row r="25" spans="2:5" x14ac:dyDescent="0.35">
      <c r="B25" t="s">
        <v>36</v>
      </c>
      <c r="C25" s="205">
        <v>96110</v>
      </c>
      <c r="D25" s="207">
        <v>0</v>
      </c>
      <c r="E25" s="141">
        <f>ROUND('Expense Calculator and Summary'!G$5*D25,0)</f>
        <v>0</v>
      </c>
    </row>
    <row r="26" spans="2:5" x14ac:dyDescent="0.35">
      <c r="B26" t="s">
        <v>37</v>
      </c>
      <c r="C26" s="205">
        <v>96112</v>
      </c>
      <c r="D26" s="207">
        <v>0</v>
      </c>
      <c r="E26" s="141">
        <f>ROUND('Expense Calculator and Summary'!G$5*D26,0)</f>
        <v>0</v>
      </c>
    </row>
    <row r="27" spans="2:5" x14ac:dyDescent="0.35">
      <c r="B27" t="s">
        <v>38</v>
      </c>
      <c r="C27" s="205">
        <v>96113</v>
      </c>
      <c r="D27" s="207">
        <v>0</v>
      </c>
      <c r="E27" s="141">
        <f>ROUND('Expense Calculator and Summary'!G$5*D27,0)</f>
        <v>0</v>
      </c>
    </row>
    <row r="28" spans="2:5" x14ac:dyDescent="0.35">
      <c r="B28" t="s">
        <v>39</v>
      </c>
      <c r="C28" s="205">
        <v>96130</v>
      </c>
      <c r="D28" s="207">
        <v>0</v>
      </c>
      <c r="E28" s="141">
        <f>ROUND('Expense Calculator and Summary'!G$5*D28,0)</f>
        <v>0</v>
      </c>
    </row>
    <row r="29" spans="2:5" x14ac:dyDescent="0.35">
      <c r="B29" t="s">
        <v>40</v>
      </c>
      <c r="C29" s="205">
        <v>96131</v>
      </c>
      <c r="D29" s="207">
        <v>0</v>
      </c>
      <c r="E29" s="141">
        <f>ROUND('Expense Calculator and Summary'!G$5*D29,0)</f>
        <v>0</v>
      </c>
    </row>
    <row r="30" spans="2:5" x14ac:dyDescent="0.35">
      <c r="B30" t="s">
        <v>41</v>
      </c>
      <c r="C30" s="205">
        <v>96136</v>
      </c>
      <c r="D30" s="207">
        <v>0</v>
      </c>
      <c r="E30" s="141">
        <f>ROUND('Expense Calculator and Summary'!G$5*D30,0)</f>
        <v>0</v>
      </c>
    </row>
    <row r="31" spans="2:5" x14ac:dyDescent="0.35">
      <c r="B31" t="s">
        <v>42</v>
      </c>
      <c r="C31" s="205">
        <v>96137</v>
      </c>
      <c r="D31" s="207">
        <v>0</v>
      </c>
      <c r="E31" s="141">
        <f>ROUND('Expense Calculator and Summary'!G$5*D31,0)</f>
        <v>0</v>
      </c>
    </row>
    <row r="32" spans="2:5" x14ac:dyDescent="0.35">
      <c r="B32" t="s">
        <v>43</v>
      </c>
      <c r="C32" s="205">
        <v>96116</v>
      </c>
      <c r="D32" s="207">
        <v>0</v>
      </c>
      <c r="E32" s="141">
        <f>ROUND('Expense Calculator and Summary'!G$5*D32,0)</f>
        <v>0</v>
      </c>
    </row>
    <row r="33" spans="2:5" x14ac:dyDescent="0.35">
      <c r="B33" t="s">
        <v>44</v>
      </c>
      <c r="C33" s="205">
        <v>96121</v>
      </c>
      <c r="D33" s="207">
        <v>0</v>
      </c>
      <c r="E33" s="141">
        <f>ROUND('Expense Calculator and Summary'!G$5*D33,0)</f>
        <v>0</v>
      </c>
    </row>
    <row r="34" spans="2:5" x14ac:dyDescent="0.35">
      <c r="B34" t="s">
        <v>45</v>
      </c>
      <c r="C34" s="205">
        <v>90882</v>
      </c>
      <c r="D34" s="207">
        <v>0</v>
      </c>
      <c r="E34" s="141">
        <f>ROUND('Expense Calculator and Summary'!G$5*D34,0)</f>
        <v>0</v>
      </c>
    </row>
    <row r="35" spans="2:5" x14ac:dyDescent="0.35">
      <c r="B35" t="s">
        <v>46</v>
      </c>
      <c r="C35" s="205" t="s">
        <v>10</v>
      </c>
      <c r="D35" s="207">
        <v>0</v>
      </c>
      <c r="E35" s="141">
        <f>ROUND('Expense Calculator and Summary'!G$5*D35,0)</f>
        <v>0</v>
      </c>
    </row>
    <row r="36" spans="2:5" x14ac:dyDescent="0.35">
      <c r="B36" t="s">
        <v>47</v>
      </c>
      <c r="C36" s="205">
        <v>99401</v>
      </c>
      <c r="D36" s="207">
        <v>0</v>
      </c>
      <c r="E36" s="141">
        <f>ROUND('Expense Calculator and Summary'!G$5*D36,0)</f>
        <v>0</v>
      </c>
    </row>
    <row r="37" spans="2:5" x14ac:dyDescent="0.35">
      <c r="B37" t="s">
        <v>48</v>
      </c>
      <c r="C37" s="205">
        <v>99402</v>
      </c>
      <c r="D37" s="207">
        <v>0</v>
      </c>
      <c r="E37" s="141">
        <f>ROUND('Expense Calculator and Summary'!G$5*D37,0)</f>
        <v>0</v>
      </c>
    </row>
    <row r="38" spans="2:5" x14ac:dyDescent="0.35">
      <c r="B38" t="s">
        <v>49</v>
      </c>
      <c r="C38" s="205">
        <v>99403</v>
      </c>
      <c r="D38" s="207">
        <v>0</v>
      </c>
      <c r="E38" s="141">
        <f>ROUND('Expense Calculator and Summary'!G$5*D38,0)</f>
        <v>0</v>
      </c>
    </row>
    <row r="39" spans="2:5" x14ac:dyDescent="0.35">
      <c r="B39" t="s">
        <v>50</v>
      </c>
      <c r="C39" s="205">
        <v>99404</v>
      </c>
      <c r="D39" s="207">
        <v>0</v>
      </c>
      <c r="E39" s="141">
        <f>ROUND('Expense Calculator and Summary'!G$5*D39,0)</f>
        <v>0</v>
      </c>
    </row>
    <row r="40" spans="2:5" x14ac:dyDescent="0.35">
      <c r="B40" t="s">
        <v>51</v>
      </c>
      <c r="C40" s="205">
        <v>99411</v>
      </c>
      <c r="D40" s="207">
        <v>0</v>
      </c>
      <c r="E40" s="141">
        <f>ROUND('Expense Calculator and Summary'!G$5*D40,0)</f>
        <v>0</v>
      </c>
    </row>
    <row r="41" spans="2:5" x14ac:dyDescent="0.35">
      <c r="B41" t="s">
        <v>52</v>
      </c>
      <c r="C41" s="205">
        <v>99412</v>
      </c>
      <c r="D41" s="207">
        <v>0</v>
      </c>
      <c r="E41" s="141">
        <f>ROUND('Expense Calculator and Summary'!G$5*D41,0)</f>
        <v>0</v>
      </c>
    </row>
    <row r="42" spans="2:5" x14ac:dyDescent="0.35">
      <c r="B42" t="s">
        <v>53</v>
      </c>
      <c r="C42" s="205">
        <v>99406</v>
      </c>
      <c r="D42" s="207">
        <v>0</v>
      </c>
      <c r="E42" s="141">
        <f>ROUND('Expense Calculator and Summary'!G$5*D42,0)</f>
        <v>0</v>
      </c>
    </row>
    <row r="43" spans="2:5" x14ac:dyDescent="0.35">
      <c r="B43" t="s">
        <v>54</v>
      </c>
      <c r="C43" s="205">
        <v>99407</v>
      </c>
      <c r="D43" s="207">
        <v>0</v>
      </c>
      <c r="E43" s="141">
        <f>ROUND('Expense Calculator and Summary'!G$5*D43,0)</f>
        <v>0</v>
      </c>
    </row>
    <row r="44" spans="2:5" x14ac:dyDescent="0.35">
      <c r="B44" t="s">
        <v>55</v>
      </c>
      <c r="C44" s="205" t="s">
        <v>56</v>
      </c>
      <c r="D44" s="207">
        <v>0</v>
      </c>
      <c r="E44" s="141">
        <f>ROUND('Expense Calculator and Summary'!G$5*D44,0)</f>
        <v>0</v>
      </c>
    </row>
    <row r="45" spans="2:5" x14ac:dyDescent="0.35">
      <c r="B45" t="s">
        <v>57</v>
      </c>
      <c r="C45" s="205" t="s">
        <v>58</v>
      </c>
      <c r="D45" s="207">
        <v>0</v>
      </c>
      <c r="E45" s="141">
        <f>ROUND('Expense Calculator and Summary'!G$5*D45,0)</f>
        <v>0</v>
      </c>
    </row>
    <row r="46" spans="2:5" x14ac:dyDescent="0.35">
      <c r="B46" t="s">
        <v>59</v>
      </c>
      <c r="C46" s="205" t="s">
        <v>60</v>
      </c>
      <c r="D46" s="207">
        <v>0</v>
      </c>
      <c r="E46" s="141">
        <f>ROUND('Expense Calculator and Summary'!G$5*D46,0)</f>
        <v>0</v>
      </c>
    </row>
    <row r="47" spans="2:5" x14ac:dyDescent="0.35">
      <c r="B47" s="206" t="s">
        <v>61</v>
      </c>
      <c r="D47" s="208">
        <f>SUM(D3:D46)</f>
        <v>0</v>
      </c>
      <c r="E47" s="204">
        <f>SUM(E3:E46)</f>
        <v>0</v>
      </c>
    </row>
    <row r="49" spans="2:2" ht="131.15" customHeight="1" x14ac:dyDescent="0.35">
      <c r="B49" t="s">
        <v>62</v>
      </c>
    </row>
  </sheetData>
  <conditionalFormatting sqref="D47">
    <cfRule type="cellIs" dxfId="22" priority="1" operator="equal">
      <formula>1</formula>
    </cfRule>
    <cfRule type="cellIs" dxfId="21" priority="2" operator="notEqual">
      <formula>1</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582-ADA9-4C99-9F68-91ABFDEEBBF0}">
  <dimension ref="B1:AE107"/>
  <sheetViews>
    <sheetView zoomScale="70" zoomScaleNormal="70" workbookViewId="0">
      <pane xSplit="2" ySplit="11" topLeftCell="T52" activePane="bottomRight" state="frozen"/>
      <selection pane="topRight" activeCell="C1" sqref="C1"/>
      <selection pane="bottomLeft" activeCell="A12" sqref="A12"/>
      <selection pane="bottomRight" activeCell="B1" sqref="B1"/>
    </sheetView>
  </sheetViews>
  <sheetFormatPr defaultColWidth="8.81640625" defaultRowHeight="14.5" outlineLevelCol="1" x14ac:dyDescent="0.35"/>
  <cols>
    <col min="1" max="1" width="3.453125" customWidth="1"/>
    <col min="2" max="2" width="63.453125" style="12" customWidth="1"/>
    <col min="3" max="3" width="15.81640625" style="12" customWidth="1"/>
    <col min="4" max="4" width="13.453125" style="10" bestFit="1" customWidth="1"/>
    <col min="5" max="5" width="12.453125" style="2" bestFit="1" customWidth="1"/>
    <col min="6" max="6" width="12.453125" style="2" customWidth="1"/>
    <col min="7" max="7" width="14.54296875" style="10" customWidth="1"/>
    <col min="8" max="9" width="13.453125" style="10" customWidth="1"/>
    <col min="10" max="11" width="14.54296875" style="10" customWidth="1"/>
    <col min="12" max="12" width="12.81640625" style="10" customWidth="1"/>
    <col min="13" max="13" width="11.453125" style="10" customWidth="1"/>
    <col min="14" max="14" width="0.54296875" style="10" customWidth="1"/>
    <col min="15" max="15" width="11.54296875" style="11" customWidth="1" outlineLevel="1"/>
    <col min="16" max="16" width="0.54296875" style="11" customWidth="1" outlineLevel="1"/>
    <col min="17" max="19" width="10.54296875" style="11" customWidth="1" outlineLevel="1"/>
    <col min="20" max="20" width="13.54296875" style="11" customWidth="1" outlineLevel="1"/>
    <col min="21" max="21" width="12.81640625" style="11" customWidth="1" outlineLevel="1"/>
    <col min="22" max="22" width="10.54296875" style="11" customWidth="1" outlineLevel="1"/>
    <col min="23" max="23" width="11.453125" style="11" customWidth="1" outlineLevel="1"/>
    <col min="24" max="24" width="0.54296875" style="11" customWidth="1" outlineLevel="1"/>
    <col min="25" max="25" width="13.81640625" style="11" customWidth="1" outlineLevel="1"/>
    <col min="26" max="26" width="0.54296875" style="11" customWidth="1" outlineLevel="1"/>
    <col min="27" max="27" width="9.54296875" style="10" bestFit="1" customWidth="1"/>
    <col min="28" max="28" width="10.54296875" style="10" customWidth="1"/>
    <col min="29" max="29" width="14.81640625" style="10" customWidth="1"/>
    <col min="30" max="30" width="9.1796875" style="10"/>
    <col min="31" max="31" width="15.453125" style="10" customWidth="1"/>
    <col min="32" max="32" width="15.1796875" bestFit="1" customWidth="1"/>
    <col min="33" max="33" width="15.453125" customWidth="1"/>
    <col min="34" max="35" width="13.453125" bestFit="1" customWidth="1"/>
    <col min="36" max="36" width="15.453125" customWidth="1"/>
    <col min="37" max="37" width="13.453125" bestFit="1" customWidth="1"/>
    <col min="38" max="38" width="11.453125" bestFit="1" customWidth="1"/>
    <col min="39" max="39" width="14.1796875" customWidth="1"/>
  </cols>
  <sheetData>
    <row r="1" spans="2:31" x14ac:dyDescent="0.35">
      <c r="B1" s="113" t="s">
        <v>63</v>
      </c>
      <c r="E1" s="192" t="s">
        <v>62</v>
      </c>
      <c r="F1" s="229" t="s">
        <v>64</v>
      </c>
      <c r="G1" s="229"/>
      <c r="H1" s="229"/>
      <c r="I1" s="230" t="s">
        <v>65</v>
      </c>
      <c r="J1" s="232"/>
      <c r="K1" s="233"/>
      <c r="L1" s="230" t="s">
        <v>66</v>
      </c>
      <c r="M1" s="231"/>
    </row>
    <row r="2" spans="2:31" ht="26.5" x14ac:dyDescent="0.35">
      <c r="B2" s="113" t="s">
        <v>67</v>
      </c>
      <c r="C2" s="114">
        <v>0.15</v>
      </c>
      <c r="D2" s="188"/>
      <c r="E2" s="194" t="s">
        <v>68</v>
      </c>
      <c r="F2" s="189" t="s">
        <v>69</v>
      </c>
      <c r="G2" s="190" t="s">
        <v>70</v>
      </c>
      <c r="H2" s="190" t="s">
        <v>71</v>
      </c>
      <c r="I2" s="191" t="s">
        <v>69</v>
      </c>
      <c r="J2" s="191" t="s">
        <v>70</v>
      </c>
      <c r="K2" s="191" t="s">
        <v>71</v>
      </c>
      <c r="L2" s="191" t="s">
        <v>72</v>
      </c>
      <c r="M2" s="193" t="s">
        <v>73</v>
      </c>
    </row>
    <row r="3" spans="2:31" ht="26.5" thickBot="1" x14ac:dyDescent="0.4">
      <c r="B3" s="113" t="s">
        <v>74</v>
      </c>
      <c r="C3" s="114">
        <v>0.61</v>
      </c>
      <c r="D3" s="18"/>
      <c r="E3" s="195" t="s">
        <v>75</v>
      </c>
      <c r="F3" s="196">
        <v>170.33</v>
      </c>
      <c r="G3" s="197">
        <v>189.21</v>
      </c>
      <c r="H3" s="197">
        <v>237.4</v>
      </c>
      <c r="I3" s="198">
        <v>164.03</v>
      </c>
      <c r="J3" s="198">
        <v>182.21</v>
      </c>
      <c r="K3" s="198">
        <v>228.61</v>
      </c>
      <c r="L3" s="198">
        <v>160.38</v>
      </c>
      <c r="M3" s="199">
        <v>208.64</v>
      </c>
      <c r="O3" s="10"/>
    </row>
    <row r="4" spans="2:31" x14ac:dyDescent="0.35">
      <c r="B4" s="113" t="s">
        <v>76</v>
      </c>
      <c r="C4" s="114">
        <v>0.2</v>
      </c>
      <c r="L4" s="181"/>
    </row>
    <row r="5" spans="2:31" x14ac:dyDescent="0.35">
      <c r="B5" s="113" t="s">
        <v>77</v>
      </c>
      <c r="C5" s="114">
        <v>0.02</v>
      </c>
      <c r="G5" s="181"/>
      <c r="O5" s="11" t="s">
        <v>78</v>
      </c>
    </row>
    <row r="6" spans="2:31" x14ac:dyDescent="0.35">
      <c r="B6" s="113" t="s">
        <v>79</v>
      </c>
      <c r="C6" s="114">
        <v>0</v>
      </c>
      <c r="E6" s="183"/>
      <c r="O6" s="182" t="s">
        <v>80</v>
      </c>
      <c r="Q6" s="12" t="s">
        <v>81</v>
      </c>
    </row>
    <row r="7" spans="2:31" ht="15" thickBot="1" x14ac:dyDescent="0.4">
      <c r="B7" s="113" t="s">
        <v>82</v>
      </c>
      <c r="C7" s="114">
        <v>0.02</v>
      </c>
    </row>
    <row r="8" spans="2:31" ht="15.5" thickTop="1" thickBot="1" x14ac:dyDescent="0.4">
      <c r="C8" s="116">
        <f>SUM(C2:C7)</f>
        <v>1</v>
      </c>
      <c r="E8" s="183"/>
      <c r="G8" s="8" t="s">
        <v>83</v>
      </c>
      <c r="H8" s="225" t="s">
        <v>84</v>
      </c>
      <c r="I8" s="226"/>
      <c r="J8" s="226"/>
      <c r="K8" s="226"/>
      <c r="L8" s="226"/>
      <c r="M8" s="227"/>
      <c r="N8" s="212"/>
      <c r="O8" s="228" t="s">
        <v>85</v>
      </c>
      <c r="P8" s="228"/>
      <c r="Q8" s="228"/>
      <c r="R8" s="228"/>
      <c r="S8" s="228"/>
      <c r="T8" s="228"/>
      <c r="U8" s="228"/>
      <c r="V8" s="228"/>
      <c r="W8" s="228"/>
      <c r="X8" s="29"/>
      <c r="Z8" s="29"/>
      <c r="AA8" s="220" t="s">
        <v>86</v>
      </c>
      <c r="AB8" s="221"/>
      <c r="AC8" s="14" t="s">
        <v>87</v>
      </c>
      <c r="AD8" s="212"/>
    </row>
    <row r="9" spans="2:31" x14ac:dyDescent="0.35">
      <c r="B9" s="218" t="s">
        <v>88</v>
      </c>
      <c r="D9" s="212"/>
      <c r="E9" s="212" t="s">
        <v>89</v>
      </c>
      <c r="F9" s="212"/>
      <c r="G9" s="202">
        <v>170.33</v>
      </c>
      <c r="H9" s="57">
        <v>0.1</v>
      </c>
      <c r="I9" s="57">
        <v>0.35</v>
      </c>
      <c r="J9" s="58">
        <f>G9*0.0759</f>
        <v>12.928046999999999</v>
      </c>
      <c r="K9" s="184">
        <v>0.25</v>
      </c>
      <c r="L9" s="57">
        <v>0.5</v>
      </c>
      <c r="M9" s="57">
        <v>0.45</v>
      </c>
      <c r="N9" s="15"/>
      <c r="O9" s="84" t="s">
        <v>90</v>
      </c>
      <c r="P9" s="9"/>
      <c r="Q9" s="222" t="s">
        <v>91</v>
      </c>
      <c r="R9" s="223"/>
      <c r="S9" s="223"/>
      <c r="T9" s="223"/>
      <c r="U9" s="223"/>
      <c r="V9" s="224"/>
      <c r="W9" s="214" t="s">
        <v>92</v>
      </c>
      <c r="X9" s="9"/>
      <c r="Y9" s="214" t="s">
        <v>93</v>
      </c>
      <c r="Z9" s="9"/>
      <c r="AA9" s="49">
        <v>-0.1</v>
      </c>
      <c r="AB9" s="3" t="s">
        <v>94</v>
      </c>
      <c r="AC9" s="3" t="s">
        <v>95</v>
      </c>
      <c r="AD9" s="15"/>
    </row>
    <row r="10" spans="2:31" x14ac:dyDescent="0.35">
      <c r="B10" s="219"/>
      <c r="C10" s="213"/>
      <c r="D10" s="213"/>
      <c r="E10" s="213" t="s">
        <v>96</v>
      </c>
      <c r="F10" s="203">
        <f>'Expense Calculator and Summary'!G5</f>
        <v>0</v>
      </c>
      <c r="G10" s="56"/>
      <c r="H10" s="54"/>
      <c r="I10" s="54"/>
      <c r="J10" s="55"/>
      <c r="K10" s="55"/>
      <c r="L10" s="54"/>
      <c r="M10" s="44">
        <v>0.2</v>
      </c>
      <c r="N10" s="15"/>
      <c r="O10" s="84"/>
      <c r="P10" s="9"/>
      <c r="Q10" s="45"/>
      <c r="R10" s="46"/>
      <c r="S10" s="46"/>
      <c r="T10" s="46"/>
      <c r="U10" s="46"/>
      <c r="V10" s="47"/>
      <c r="W10" s="214"/>
      <c r="X10" s="9"/>
      <c r="Y10" s="214"/>
      <c r="Z10" s="9"/>
      <c r="AA10" s="48"/>
      <c r="AB10" s="33"/>
      <c r="AC10" s="47"/>
      <c r="AD10" s="15"/>
    </row>
    <row r="11" spans="2:31" ht="56.5" customHeight="1" thickBot="1" x14ac:dyDescent="0.4">
      <c r="B11" s="51" t="s">
        <v>97</v>
      </c>
      <c r="C11" s="50" t="s">
        <v>98</v>
      </c>
      <c r="D11" s="52" t="s">
        <v>3</v>
      </c>
      <c r="E11" s="52" t="s">
        <v>99</v>
      </c>
      <c r="F11" s="53" t="s">
        <v>100</v>
      </c>
      <c r="G11" s="53" t="s">
        <v>101</v>
      </c>
      <c r="H11" s="106" t="s">
        <v>102</v>
      </c>
      <c r="I11" s="106" t="s">
        <v>103</v>
      </c>
      <c r="J11" s="106" t="s">
        <v>104</v>
      </c>
      <c r="K11" s="106" t="s">
        <v>105</v>
      </c>
      <c r="L11" s="106" t="s">
        <v>106</v>
      </c>
      <c r="M11" s="107" t="s">
        <v>107</v>
      </c>
      <c r="N11" s="108"/>
      <c r="O11" s="66" t="s">
        <v>108</v>
      </c>
      <c r="P11" s="109"/>
      <c r="Q11" s="66" t="s">
        <v>102</v>
      </c>
      <c r="R11" s="66" t="s">
        <v>109</v>
      </c>
      <c r="S11" s="106" t="s">
        <v>104</v>
      </c>
      <c r="T11" s="106" t="s">
        <v>105</v>
      </c>
      <c r="U11" s="106" t="s">
        <v>106</v>
      </c>
      <c r="V11" s="107" t="s">
        <v>107</v>
      </c>
      <c r="W11" s="66" t="s">
        <v>110</v>
      </c>
      <c r="X11" s="109"/>
      <c r="Y11" s="66" t="s">
        <v>93</v>
      </c>
      <c r="Z11" s="109"/>
      <c r="AA11" s="65" t="s">
        <v>111</v>
      </c>
      <c r="AB11" s="66" t="s">
        <v>112</v>
      </c>
      <c r="AC11" s="67" t="s">
        <v>108</v>
      </c>
    </row>
    <row r="12" spans="2:31" ht="15" customHeight="1" x14ac:dyDescent="0.35">
      <c r="B12" s="20" t="s">
        <v>7</v>
      </c>
      <c r="C12" s="19">
        <v>323</v>
      </c>
      <c r="D12" s="82">
        <v>90791</v>
      </c>
      <c r="E12" s="4">
        <v>1.0344</v>
      </c>
      <c r="F12" s="112">
        <f>'Units by %'!E3</f>
        <v>0</v>
      </c>
      <c r="G12" s="112">
        <f t="shared" ref="G12:G14" si="0">ROUND((C$2+C$3)*F12,0)</f>
        <v>0</v>
      </c>
      <c r="H12" s="21"/>
      <c r="I12" s="21">
        <v>0</v>
      </c>
      <c r="J12" s="21">
        <v>0</v>
      </c>
      <c r="K12" s="21">
        <f>G12</f>
        <v>0</v>
      </c>
      <c r="L12" s="21"/>
      <c r="M12" s="21"/>
      <c r="N12" s="16"/>
      <c r="O12" s="70">
        <f t="shared" ref="O12:O22" si="1">G12*E12*$G$9</f>
        <v>0</v>
      </c>
      <c r="P12" s="85"/>
      <c r="Q12" s="87">
        <f>IF(H12&gt;G12,"Mod Error",H12*$E12*$G$9*H$9)</f>
        <v>0</v>
      </c>
      <c r="R12" s="87">
        <f>IF(I12&gt;G12,"Mod Error",I12*$E12*$G$9*I$9)</f>
        <v>0</v>
      </c>
      <c r="S12" s="87">
        <f t="shared" ref="S12:S22" si="2">IF(J12&gt;G12,"Mod Error",J12*$J$9)</f>
        <v>0</v>
      </c>
      <c r="T12" s="60">
        <f>IF(K12&gt;G12,"Mod Error",K12*$E12*$G$9*$K$9)</f>
        <v>0</v>
      </c>
      <c r="U12" s="60">
        <f t="shared" ref="U12:U18" si="3">IF(L12&gt;G12,"Mod Error",L12*$E12*$G$9*$L$9)</f>
        <v>0</v>
      </c>
      <c r="V12" s="87">
        <f>IF(M12&gt;G12,"Mod Error",M12*E12*$G$9*$M$9)</f>
        <v>0</v>
      </c>
      <c r="W12" s="86">
        <f t="shared" ref="W12:W55" si="4">SUM(Q12:V12)</f>
        <v>0</v>
      </c>
      <c r="X12" s="60"/>
      <c r="Y12" s="86">
        <f t="shared" ref="Y12:Y13" si="5">O12+W12</f>
        <v>0</v>
      </c>
      <c r="Z12" s="60"/>
      <c r="AA12" s="21"/>
      <c r="AB12" s="59">
        <f>IF(G12=0,0,Y12/G12)*AA12*$AA$9</f>
        <v>0</v>
      </c>
      <c r="AC12" s="97">
        <f t="shared" ref="AC12:AC55" si="6">IF(AB12="X",Y12,Y12+AB12)</f>
        <v>0</v>
      </c>
      <c r="AD12" s="17"/>
      <c r="AE12" s="18"/>
    </row>
    <row r="13" spans="2:31" ht="15" customHeight="1" x14ac:dyDescent="0.35">
      <c r="B13" s="20" t="s">
        <v>8</v>
      </c>
      <c r="C13" s="19">
        <v>323</v>
      </c>
      <c r="D13" s="82">
        <v>90792</v>
      </c>
      <c r="E13" s="4">
        <f>E12</f>
        <v>1.0344</v>
      </c>
      <c r="F13" s="112">
        <f>'Units by %'!E4</f>
        <v>0</v>
      </c>
      <c r="G13" s="112">
        <f t="shared" si="0"/>
        <v>0</v>
      </c>
      <c r="H13" s="21"/>
      <c r="I13" s="21"/>
      <c r="J13" s="21"/>
      <c r="K13" s="21">
        <v>0</v>
      </c>
      <c r="L13" s="21"/>
      <c r="M13" s="21"/>
      <c r="N13" s="16"/>
      <c r="O13" s="70">
        <f t="shared" si="1"/>
        <v>0</v>
      </c>
      <c r="P13" s="85"/>
      <c r="Q13" s="87">
        <f>IF(H13&gt;G13,"Mod Error",H13*$E13*$G$9*H$9)</f>
        <v>0</v>
      </c>
      <c r="R13" s="87">
        <f>IF(I13&gt;G13,"Mod Error",I13*$E13*$G$9*I$9)</f>
        <v>0</v>
      </c>
      <c r="S13" s="87">
        <f t="shared" si="2"/>
        <v>0</v>
      </c>
      <c r="T13" s="60">
        <f t="shared" ref="T13:T55" si="7">IF(K13&gt;G13,"Mod Error",K13*$E13*$G$9*$K$9)</f>
        <v>0</v>
      </c>
      <c r="U13" s="60">
        <f t="shared" si="3"/>
        <v>0</v>
      </c>
      <c r="V13" s="87">
        <f>IF(M13&gt;G13,"Mod Error",M13*E13*$G$9*$M$9)</f>
        <v>0</v>
      </c>
      <c r="W13" s="86">
        <f t="shared" si="4"/>
        <v>0</v>
      </c>
      <c r="X13" s="60"/>
      <c r="Y13" s="86">
        <f t="shared" si="5"/>
        <v>0</v>
      </c>
      <c r="Z13" s="60"/>
      <c r="AA13" s="21"/>
      <c r="AB13" s="59">
        <f>IF(G13=0,0,Y13/G13)*AA13*$AA$9</f>
        <v>0</v>
      </c>
      <c r="AC13" s="97">
        <f t="shared" si="6"/>
        <v>0</v>
      </c>
      <c r="AD13" s="17"/>
      <c r="AE13" s="18"/>
    </row>
    <row r="14" spans="2:31" ht="15" customHeight="1" x14ac:dyDescent="0.35">
      <c r="B14" s="22" t="s">
        <v>9</v>
      </c>
      <c r="C14" s="19" t="s">
        <v>113</v>
      </c>
      <c r="D14" s="82" t="s">
        <v>10</v>
      </c>
      <c r="E14" s="4">
        <v>0.66200000000000003</v>
      </c>
      <c r="F14" s="112">
        <f>'Units by %'!E5</f>
        <v>0</v>
      </c>
      <c r="G14" s="112">
        <f t="shared" si="0"/>
        <v>0</v>
      </c>
      <c r="H14" s="24" t="s">
        <v>114</v>
      </c>
      <c r="I14" s="24" t="s">
        <v>114</v>
      </c>
      <c r="J14" s="21"/>
      <c r="K14" s="21"/>
      <c r="L14" s="21"/>
      <c r="M14" s="24" t="s">
        <v>114</v>
      </c>
      <c r="N14" s="16"/>
      <c r="O14" s="70">
        <f t="shared" si="1"/>
        <v>0</v>
      </c>
      <c r="P14" s="85"/>
      <c r="Q14" s="61" t="s">
        <v>114</v>
      </c>
      <c r="R14" s="61" t="s">
        <v>114</v>
      </c>
      <c r="S14" s="87">
        <f t="shared" si="2"/>
        <v>0</v>
      </c>
      <c r="T14" s="60">
        <f t="shared" si="7"/>
        <v>0</v>
      </c>
      <c r="U14" s="60">
        <f t="shared" si="3"/>
        <v>0</v>
      </c>
      <c r="V14" s="61" t="s">
        <v>114</v>
      </c>
      <c r="W14" s="86">
        <f t="shared" si="4"/>
        <v>0</v>
      </c>
      <c r="X14" s="60"/>
      <c r="Y14" s="86">
        <f t="shared" ref="Y14:Y55" si="8">O14+W14</f>
        <v>0</v>
      </c>
      <c r="Z14" s="60"/>
      <c r="AA14" s="21"/>
      <c r="AB14" s="59">
        <f>IF(G14=0,0,Y14/G14)*AA14*$AA$9</f>
        <v>0</v>
      </c>
      <c r="AC14" s="97">
        <f t="shared" si="6"/>
        <v>0</v>
      </c>
      <c r="AD14" s="17"/>
    </row>
    <row r="15" spans="2:31" ht="15" customHeight="1" x14ac:dyDescent="0.35">
      <c r="B15" s="22" t="s">
        <v>11</v>
      </c>
      <c r="C15" s="19">
        <v>315</v>
      </c>
      <c r="D15" s="82">
        <v>90833</v>
      </c>
      <c r="E15" s="4">
        <v>0.37240000000000001</v>
      </c>
      <c r="F15" s="112">
        <f>'Units by %'!E6</f>
        <v>0</v>
      </c>
      <c r="G15" s="112">
        <f>ROUND((C$2+C$3)*F15,0)</f>
        <v>0</v>
      </c>
      <c r="H15" s="21"/>
      <c r="I15" s="21"/>
      <c r="J15" s="21"/>
      <c r="K15" s="21"/>
      <c r="L15" s="21"/>
      <c r="M15" s="24" t="s">
        <v>114</v>
      </c>
      <c r="N15" s="16"/>
      <c r="O15" s="70">
        <f t="shared" si="1"/>
        <v>0</v>
      </c>
      <c r="P15" s="85"/>
      <c r="Q15" s="87">
        <f>IF(H15&gt;G15,"Mod Error",H15*$E15*$G$9*H$9)</f>
        <v>0</v>
      </c>
      <c r="R15" s="87">
        <f>IF(I15&gt;G15,"Mod Error",I15*$E15*$G$9*I$9)</f>
        <v>0</v>
      </c>
      <c r="S15" s="87">
        <f t="shared" si="2"/>
        <v>0</v>
      </c>
      <c r="T15" s="60">
        <f t="shared" si="7"/>
        <v>0</v>
      </c>
      <c r="U15" s="60">
        <f t="shared" si="3"/>
        <v>0</v>
      </c>
      <c r="V15" s="61" t="s">
        <v>114</v>
      </c>
      <c r="W15" s="86">
        <f t="shared" si="4"/>
        <v>0</v>
      </c>
      <c r="X15" s="60"/>
      <c r="Y15" s="86">
        <f t="shared" si="8"/>
        <v>0</v>
      </c>
      <c r="Z15" s="60"/>
      <c r="AA15" s="61" t="s">
        <v>114</v>
      </c>
      <c r="AB15" s="61" t="s">
        <v>114</v>
      </c>
      <c r="AC15" s="97">
        <f t="shared" si="6"/>
        <v>0</v>
      </c>
      <c r="AD15" s="17"/>
      <c r="AE15" s="18"/>
    </row>
    <row r="16" spans="2:31" ht="15" customHeight="1" x14ac:dyDescent="0.35">
      <c r="B16" s="22" t="s">
        <v>12</v>
      </c>
      <c r="C16" s="19" t="s">
        <v>113</v>
      </c>
      <c r="D16" s="82" t="s">
        <v>10</v>
      </c>
      <c r="E16" s="4">
        <v>0.66200000000000003</v>
      </c>
      <c r="F16" s="112">
        <f>'Units by %'!E7</f>
        <v>0</v>
      </c>
      <c r="G16" s="112">
        <f>ROUND((C$2+C$3)*F16,0)</f>
        <v>0</v>
      </c>
      <c r="H16" s="24" t="s">
        <v>114</v>
      </c>
      <c r="I16" s="24" t="s">
        <v>114</v>
      </c>
      <c r="J16" s="21"/>
      <c r="K16" s="21"/>
      <c r="L16" s="21"/>
      <c r="M16" s="24" t="s">
        <v>114</v>
      </c>
      <c r="N16" s="16"/>
      <c r="O16" s="70">
        <f t="shared" si="1"/>
        <v>0</v>
      </c>
      <c r="P16" s="85"/>
      <c r="Q16" s="61" t="s">
        <v>114</v>
      </c>
      <c r="R16" s="61" t="s">
        <v>114</v>
      </c>
      <c r="S16" s="87">
        <f t="shared" si="2"/>
        <v>0</v>
      </c>
      <c r="T16" s="60">
        <f t="shared" si="7"/>
        <v>0</v>
      </c>
      <c r="U16" s="60">
        <f t="shared" si="3"/>
        <v>0</v>
      </c>
      <c r="V16" s="61" t="s">
        <v>114</v>
      </c>
      <c r="W16" s="86">
        <f>SUM(Q16:V16)</f>
        <v>0</v>
      </c>
      <c r="X16" s="60"/>
      <c r="Y16" s="86">
        <f t="shared" si="8"/>
        <v>0</v>
      </c>
      <c r="Z16" s="60"/>
      <c r="AA16" s="21"/>
      <c r="AB16" s="59">
        <f>IF(G16=0,0,Y16/G16)*AA16*$AA$9</f>
        <v>0</v>
      </c>
      <c r="AC16" s="97">
        <f t="shared" si="6"/>
        <v>0</v>
      </c>
      <c r="AD16" s="17"/>
      <c r="AE16" s="18"/>
    </row>
    <row r="17" spans="2:31" ht="15" customHeight="1" x14ac:dyDescent="0.35">
      <c r="B17" s="22" t="s">
        <v>13</v>
      </c>
      <c r="C17" s="19">
        <v>316</v>
      </c>
      <c r="D17" s="82">
        <v>90836</v>
      </c>
      <c r="E17" s="4">
        <v>0.57930000000000004</v>
      </c>
      <c r="F17" s="112">
        <f>'Units by %'!E8</f>
        <v>0</v>
      </c>
      <c r="G17" s="112">
        <f t="shared" ref="G17:G55" si="9">ROUND((C$2+C$3)*F17,0)</f>
        <v>0</v>
      </c>
      <c r="H17" s="21"/>
      <c r="I17" s="21"/>
      <c r="J17" s="21"/>
      <c r="K17" s="21"/>
      <c r="L17" s="21"/>
      <c r="M17" s="24" t="s">
        <v>114</v>
      </c>
      <c r="N17" s="16"/>
      <c r="O17" s="70">
        <f t="shared" si="1"/>
        <v>0</v>
      </c>
      <c r="P17" s="85"/>
      <c r="Q17" s="87">
        <f>IF(H17&gt;G17,"Mod Error",H17*$E17*$G$9*H$9)</f>
        <v>0</v>
      </c>
      <c r="R17" s="87">
        <f>IF(I17&gt;G17,"Mod Error",I17*$E17*$G$9*I$9)</f>
        <v>0</v>
      </c>
      <c r="S17" s="87">
        <f t="shared" si="2"/>
        <v>0</v>
      </c>
      <c r="T17" s="60">
        <f t="shared" si="7"/>
        <v>0</v>
      </c>
      <c r="U17" s="60">
        <f t="shared" si="3"/>
        <v>0</v>
      </c>
      <c r="V17" s="61" t="s">
        <v>114</v>
      </c>
      <c r="W17" s="86">
        <f t="shared" ref="W17:W18" si="10">SUM(Q17:V17)</f>
        <v>0</v>
      </c>
      <c r="X17" s="60"/>
      <c r="Y17" s="86">
        <f t="shared" si="8"/>
        <v>0</v>
      </c>
      <c r="Z17" s="60"/>
      <c r="AA17" s="21"/>
      <c r="AB17" s="59">
        <f>IF(G17=0,0,Y17/G17)*AA17*$AA$9</f>
        <v>0</v>
      </c>
      <c r="AC17" s="97">
        <f t="shared" si="6"/>
        <v>0</v>
      </c>
      <c r="AD17" s="17"/>
    </row>
    <row r="18" spans="2:31" ht="15" customHeight="1" x14ac:dyDescent="0.35">
      <c r="B18" s="26" t="s">
        <v>14</v>
      </c>
      <c r="C18" s="25" t="s">
        <v>113</v>
      </c>
      <c r="D18" s="82" t="s">
        <v>10</v>
      </c>
      <c r="E18" s="4">
        <v>0.66200000000000003</v>
      </c>
      <c r="F18" s="112">
        <f>'Units by %'!E9</f>
        <v>0</v>
      </c>
      <c r="G18" s="112">
        <f t="shared" si="9"/>
        <v>0</v>
      </c>
      <c r="H18" s="24" t="s">
        <v>114</v>
      </c>
      <c r="I18" s="24" t="s">
        <v>114</v>
      </c>
      <c r="J18" s="21"/>
      <c r="K18" s="21"/>
      <c r="L18" s="21"/>
      <c r="M18" s="24" t="s">
        <v>114</v>
      </c>
      <c r="N18" s="79"/>
      <c r="O18" s="88">
        <f t="shared" si="1"/>
        <v>0</v>
      </c>
      <c r="P18" s="89"/>
      <c r="Q18" s="61" t="s">
        <v>114</v>
      </c>
      <c r="R18" s="61" t="s">
        <v>114</v>
      </c>
      <c r="S18" s="90">
        <f t="shared" si="2"/>
        <v>0</v>
      </c>
      <c r="T18" s="60">
        <f t="shared" si="7"/>
        <v>0</v>
      </c>
      <c r="U18" s="60">
        <f t="shared" si="3"/>
        <v>0</v>
      </c>
      <c r="V18" s="78" t="s">
        <v>114</v>
      </c>
      <c r="W18" s="86">
        <f t="shared" si="10"/>
        <v>0</v>
      </c>
      <c r="X18" s="91"/>
      <c r="Y18" s="86">
        <f t="shared" si="8"/>
        <v>0</v>
      </c>
      <c r="Z18" s="91"/>
      <c r="AA18" s="21"/>
      <c r="AB18" s="77">
        <f>IF(G18=0,0,Y18/G18)*AA18*$AA$9</f>
        <v>0</v>
      </c>
      <c r="AC18" s="98">
        <f t="shared" si="6"/>
        <v>0</v>
      </c>
      <c r="AD18" s="17"/>
    </row>
    <row r="19" spans="2:31" ht="15" customHeight="1" x14ac:dyDescent="0.35">
      <c r="B19" s="22" t="s">
        <v>15</v>
      </c>
      <c r="C19" s="19">
        <v>321</v>
      </c>
      <c r="D19" s="82" t="s">
        <v>16</v>
      </c>
      <c r="E19" s="4">
        <v>0.4</v>
      </c>
      <c r="F19" s="112">
        <f>'Units by %'!E10</f>
        <v>0</v>
      </c>
      <c r="G19" s="112">
        <f>ROUND((C$2+C$3)*F19,0)</f>
        <v>0</v>
      </c>
      <c r="H19" s="21"/>
      <c r="I19" s="21"/>
      <c r="J19" s="21"/>
      <c r="K19" s="21">
        <f>G19</f>
        <v>0</v>
      </c>
      <c r="L19" s="21"/>
      <c r="M19" s="24" t="s">
        <v>114</v>
      </c>
      <c r="N19" s="16"/>
      <c r="O19" s="70">
        <f t="shared" si="1"/>
        <v>0</v>
      </c>
      <c r="P19" s="85"/>
      <c r="Q19" s="60">
        <f>IF(H19&gt;G19,"Mod Error",H19*$E19*$G$9*H$9)</f>
        <v>0</v>
      </c>
      <c r="R19" s="87">
        <f t="shared" ref="R19:R22" si="11">IF(I19&gt;G19,"Mod Error",I19*$E19*$G$9*I$9)</f>
        <v>0</v>
      </c>
      <c r="S19" s="60">
        <f t="shared" si="2"/>
        <v>0</v>
      </c>
      <c r="T19" s="60">
        <f t="shared" si="7"/>
        <v>0</v>
      </c>
      <c r="U19" s="60">
        <f>IF(L19&gt;G19,"Mod Error",L19*$E19*$G$9*$L$9)</f>
        <v>0</v>
      </c>
      <c r="V19" s="61" t="s">
        <v>114</v>
      </c>
      <c r="W19" s="86">
        <f t="shared" si="4"/>
        <v>0</v>
      </c>
      <c r="X19" s="60"/>
      <c r="Y19" s="86">
        <f t="shared" si="8"/>
        <v>0</v>
      </c>
      <c r="Z19" s="60"/>
      <c r="AA19" s="21"/>
      <c r="AB19" s="59">
        <f>IF(G19=0,0,Y19/G19)*AA19*$AA$9</f>
        <v>0</v>
      </c>
      <c r="AC19" s="97">
        <f t="shared" si="6"/>
        <v>0</v>
      </c>
      <c r="AD19" s="17"/>
    </row>
    <row r="20" spans="2:31" ht="15" customHeight="1" x14ac:dyDescent="0.35">
      <c r="B20" s="22" t="s">
        <v>17</v>
      </c>
      <c r="C20" s="19">
        <v>321</v>
      </c>
      <c r="D20" s="82" t="s">
        <v>18</v>
      </c>
      <c r="E20" s="4">
        <v>2.4136000000000002</v>
      </c>
      <c r="F20" s="112">
        <f>'Units by %'!E11</f>
        <v>0</v>
      </c>
      <c r="G20" s="112">
        <f t="shared" si="9"/>
        <v>0</v>
      </c>
      <c r="H20" s="21"/>
      <c r="I20" s="21"/>
      <c r="J20" s="21"/>
      <c r="K20" s="21"/>
      <c r="L20" s="21"/>
      <c r="M20" s="24" t="s">
        <v>114</v>
      </c>
      <c r="N20" s="16"/>
      <c r="O20" s="70">
        <f t="shared" si="1"/>
        <v>0</v>
      </c>
      <c r="P20" s="85"/>
      <c r="Q20" s="87">
        <f>IF(H20&gt;G20,"Mod Error",H20*$E20*$G$9*H$9)</f>
        <v>0</v>
      </c>
      <c r="R20" s="87">
        <f t="shared" si="11"/>
        <v>0</v>
      </c>
      <c r="S20" s="87">
        <f t="shared" si="2"/>
        <v>0</v>
      </c>
      <c r="T20" s="60">
        <f t="shared" si="7"/>
        <v>0</v>
      </c>
      <c r="U20" s="60">
        <f t="shared" ref="U20:U21" si="12">IF(L20&gt;G20,"Mod Error",L20*$E20*$G$9*$L$9)</f>
        <v>0</v>
      </c>
      <c r="V20" s="61" t="s">
        <v>114</v>
      </c>
      <c r="W20" s="86">
        <f t="shared" si="4"/>
        <v>0</v>
      </c>
      <c r="X20" s="60"/>
      <c r="Y20" s="86">
        <f t="shared" si="8"/>
        <v>0</v>
      </c>
      <c r="Z20" s="60"/>
      <c r="AA20" s="21"/>
      <c r="AB20" s="59">
        <f>IF(G20=0,0,Y20/G20)*AA20*$AA$9</f>
        <v>0</v>
      </c>
      <c r="AC20" s="97">
        <f t="shared" si="6"/>
        <v>0</v>
      </c>
      <c r="AD20" s="17"/>
    </row>
    <row r="21" spans="2:31" ht="15" customHeight="1" x14ac:dyDescent="0.35">
      <c r="B21" s="22" t="s">
        <v>19</v>
      </c>
      <c r="C21" s="19">
        <v>312</v>
      </c>
      <c r="D21" s="82" t="s">
        <v>20</v>
      </c>
      <c r="E21" s="4">
        <v>5.7927</v>
      </c>
      <c r="F21" s="112">
        <f>'Units by %'!E12</f>
        <v>0</v>
      </c>
      <c r="G21" s="112">
        <f t="shared" si="9"/>
        <v>0</v>
      </c>
      <c r="H21" s="21"/>
      <c r="I21" s="21"/>
      <c r="J21" s="21"/>
      <c r="K21" s="21"/>
      <c r="L21" s="21"/>
      <c r="M21" s="24" t="s">
        <v>114</v>
      </c>
      <c r="N21" s="16"/>
      <c r="O21" s="70">
        <f t="shared" si="1"/>
        <v>0</v>
      </c>
      <c r="P21" s="85"/>
      <c r="Q21" s="87">
        <f>IF(H21&gt;G21,"Mod Error",H21*$E21*$G$9*H$9)</f>
        <v>0</v>
      </c>
      <c r="R21" s="87">
        <f t="shared" si="11"/>
        <v>0</v>
      </c>
      <c r="S21" s="87">
        <f t="shared" si="2"/>
        <v>0</v>
      </c>
      <c r="T21" s="60">
        <f t="shared" si="7"/>
        <v>0</v>
      </c>
      <c r="U21" s="60">
        <f t="shared" si="12"/>
        <v>0</v>
      </c>
      <c r="V21" s="61" t="s">
        <v>114</v>
      </c>
      <c r="W21" s="86">
        <f t="shared" si="4"/>
        <v>0</v>
      </c>
      <c r="X21" s="60"/>
      <c r="Y21" s="86">
        <f t="shared" si="8"/>
        <v>0</v>
      </c>
      <c r="Z21" s="60"/>
      <c r="AA21" s="61" t="s">
        <v>114</v>
      </c>
      <c r="AB21" s="61" t="s">
        <v>114</v>
      </c>
      <c r="AC21" s="97">
        <f t="shared" si="6"/>
        <v>0</v>
      </c>
      <c r="AD21" s="17"/>
    </row>
    <row r="22" spans="2:31" ht="15" customHeight="1" x14ac:dyDescent="0.35">
      <c r="B22" s="22" t="s">
        <v>21</v>
      </c>
      <c r="C22" s="19">
        <v>490</v>
      </c>
      <c r="D22" s="82" t="s">
        <v>22</v>
      </c>
      <c r="E22" s="4">
        <v>0.4138</v>
      </c>
      <c r="F22" s="112">
        <f>'Units by %'!E13</f>
        <v>0</v>
      </c>
      <c r="G22" s="112">
        <f t="shared" si="9"/>
        <v>0</v>
      </c>
      <c r="H22" s="21"/>
      <c r="I22" s="21"/>
      <c r="J22" s="21"/>
      <c r="K22" s="21"/>
      <c r="L22" s="21"/>
      <c r="M22" s="24" t="s">
        <v>114</v>
      </c>
      <c r="N22" s="16"/>
      <c r="O22" s="70">
        <f t="shared" si="1"/>
        <v>0</v>
      </c>
      <c r="P22" s="85"/>
      <c r="Q22" s="87">
        <f>IF(H22&gt;G22,"Mod Error",H22*$E22*$G$9*H$9)</f>
        <v>0</v>
      </c>
      <c r="R22" s="87">
        <f t="shared" si="11"/>
        <v>0</v>
      </c>
      <c r="S22" s="87">
        <f t="shared" si="2"/>
        <v>0</v>
      </c>
      <c r="T22" s="60">
        <f t="shared" si="7"/>
        <v>0</v>
      </c>
      <c r="U22" s="60">
        <f>IF(L22&gt;G22,"Mod Error",L22*$E22*$G$9*$L$9)</f>
        <v>0</v>
      </c>
      <c r="V22" s="61" t="s">
        <v>114</v>
      </c>
      <c r="W22" s="86">
        <f t="shared" si="4"/>
        <v>0</v>
      </c>
      <c r="X22" s="60"/>
      <c r="Y22" s="86">
        <f t="shared" si="8"/>
        <v>0</v>
      </c>
      <c r="Z22" s="60"/>
      <c r="AA22" s="21"/>
      <c r="AB22" s="59">
        <f>IF(G22=0,0,Y22/G22)*AA22*$AA$9</f>
        <v>0</v>
      </c>
      <c r="AC22" s="97">
        <f t="shared" si="6"/>
        <v>0</v>
      </c>
      <c r="AD22" s="17"/>
      <c r="AE22" s="18"/>
    </row>
    <row r="23" spans="2:31" ht="15" customHeight="1" x14ac:dyDescent="0.35">
      <c r="B23" s="22" t="s">
        <v>23</v>
      </c>
      <c r="C23" s="72"/>
      <c r="D23" s="82">
        <v>96372</v>
      </c>
      <c r="E23" s="110">
        <v>13.23</v>
      </c>
      <c r="F23" s="112">
        <f>'Units by %'!E14</f>
        <v>0</v>
      </c>
      <c r="G23" s="112">
        <f t="shared" si="9"/>
        <v>0</v>
      </c>
      <c r="H23" s="24" t="s">
        <v>114</v>
      </c>
      <c r="I23" s="24" t="s">
        <v>114</v>
      </c>
      <c r="J23" s="24" t="s">
        <v>114</v>
      </c>
      <c r="K23" s="24" t="s">
        <v>114</v>
      </c>
      <c r="L23" s="24" t="s">
        <v>114</v>
      </c>
      <c r="M23" s="24" t="s">
        <v>114</v>
      </c>
      <c r="N23" s="73"/>
      <c r="O23" s="70">
        <f>E23*G23</f>
        <v>0</v>
      </c>
      <c r="P23" s="92"/>
      <c r="Q23" s="61" t="s">
        <v>114</v>
      </c>
      <c r="R23" s="61" t="s">
        <v>114</v>
      </c>
      <c r="S23" s="61" t="s">
        <v>114</v>
      </c>
      <c r="T23" s="61" t="s">
        <v>114</v>
      </c>
      <c r="U23" s="61" t="s">
        <v>114</v>
      </c>
      <c r="V23" s="61" t="s">
        <v>114</v>
      </c>
      <c r="W23" s="61" t="s">
        <v>114</v>
      </c>
      <c r="X23" s="93"/>
      <c r="Y23" s="86">
        <f>O23</f>
        <v>0</v>
      </c>
      <c r="Z23" s="93"/>
      <c r="AA23" s="61" t="s">
        <v>114</v>
      </c>
      <c r="AB23" s="61" t="s">
        <v>114</v>
      </c>
      <c r="AC23" s="97">
        <f t="shared" si="6"/>
        <v>0</v>
      </c>
      <c r="AD23" s="74"/>
      <c r="AE23" s="75"/>
    </row>
    <row r="24" spans="2:31" ht="15" customHeight="1" x14ac:dyDescent="0.35">
      <c r="B24" s="22" t="s">
        <v>24</v>
      </c>
      <c r="C24" s="19" t="s">
        <v>113</v>
      </c>
      <c r="D24" s="82" t="s">
        <v>10</v>
      </c>
      <c r="E24" s="4">
        <v>0.66200000000000003</v>
      </c>
      <c r="F24" s="112">
        <f>'Units by %'!E15</f>
        <v>0</v>
      </c>
      <c r="G24" s="112">
        <f t="shared" si="9"/>
        <v>0</v>
      </c>
      <c r="H24" s="24" t="s">
        <v>114</v>
      </c>
      <c r="I24" s="24" t="s">
        <v>114</v>
      </c>
      <c r="J24" s="21"/>
      <c r="K24" s="21"/>
      <c r="L24" s="23"/>
      <c r="M24" s="24" t="s">
        <v>114</v>
      </c>
      <c r="N24" s="16"/>
      <c r="O24" s="70">
        <f t="shared" ref="O24:O52" si="13">G24*E24*$G$9</f>
        <v>0</v>
      </c>
      <c r="P24" s="85"/>
      <c r="Q24" s="61" t="s">
        <v>114</v>
      </c>
      <c r="R24" s="61" t="s">
        <v>114</v>
      </c>
      <c r="S24" s="87">
        <f t="shared" ref="S24:S43" si="14">IF(J24&gt;G24,"Mod Error",J24*$J$9)</f>
        <v>0</v>
      </c>
      <c r="T24" s="60">
        <f t="shared" si="7"/>
        <v>0</v>
      </c>
      <c r="U24" s="60">
        <f>IF(L24&gt;G24,"Mod Error",L24*$E24*$G$9*$L$9)</f>
        <v>0</v>
      </c>
      <c r="V24" s="61" t="s">
        <v>114</v>
      </c>
      <c r="W24" s="86">
        <f t="shared" si="4"/>
        <v>0</v>
      </c>
      <c r="X24" s="60"/>
      <c r="Y24" s="86">
        <f t="shared" si="8"/>
        <v>0</v>
      </c>
      <c r="Z24" s="60"/>
      <c r="AA24" s="21"/>
      <c r="AB24" s="59">
        <f t="shared" ref="AB24:AB55" si="15">IF(G24=0,0,Y24/G24)*AA24*$AA$9</f>
        <v>0</v>
      </c>
      <c r="AC24" s="97">
        <f t="shared" si="6"/>
        <v>0</v>
      </c>
      <c r="AD24" s="17"/>
      <c r="AE24" s="18"/>
    </row>
    <row r="25" spans="2:31" ht="15" customHeight="1" x14ac:dyDescent="0.35">
      <c r="B25" s="28" t="s">
        <v>25</v>
      </c>
      <c r="C25" s="19">
        <v>315</v>
      </c>
      <c r="D25" s="82">
        <v>90832</v>
      </c>
      <c r="E25" s="4">
        <v>0.62060000000000004</v>
      </c>
      <c r="F25" s="112">
        <f>'Units by %'!E16</f>
        <v>0</v>
      </c>
      <c r="G25" s="112">
        <f t="shared" si="9"/>
        <v>0</v>
      </c>
      <c r="H25" s="21"/>
      <c r="I25" s="21"/>
      <c r="J25" s="21"/>
      <c r="K25" s="21">
        <f t="shared" ref="K25:K28" si="16">G25</f>
        <v>0</v>
      </c>
      <c r="L25" s="23">
        <v>0</v>
      </c>
      <c r="M25" s="21"/>
      <c r="N25" s="16"/>
      <c r="O25" s="70">
        <f t="shared" si="13"/>
        <v>0</v>
      </c>
      <c r="P25" s="85"/>
      <c r="Q25" s="87">
        <f t="shared" ref="Q25:Q43" si="17">IF(H25&gt;G25,"Mod Error",H25*$E25*$G$9*H$9)</f>
        <v>0</v>
      </c>
      <c r="R25" s="87">
        <f t="shared" ref="R25:R43" si="18">IF(I25&gt;G25,"Mod Error",I25*$E25*$G$9*I$9)</f>
        <v>0</v>
      </c>
      <c r="S25" s="87">
        <f t="shared" si="14"/>
        <v>0</v>
      </c>
      <c r="T25" s="60">
        <f t="shared" si="7"/>
        <v>0</v>
      </c>
      <c r="U25" s="87">
        <f>IF(L25&gt;G25,"Mod Error",L25*$E25*$G$9*$L$9)</f>
        <v>0</v>
      </c>
      <c r="V25" s="87">
        <f>IF(M25&gt;G25,"Mod Error",M25*E25*$G$9*$M$9)</f>
        <v>0</v>
      </c>
      <c r="W25" s="86">
        <f t="shared" si="4"/>
        <v>0</v>
      </c>
      <c r="X25" s="60"/>
      <c r="Y25" s="86">
        <f t="shared" si="8"/>
        <v>0</v>
      </c>
      <c r="Z25" s="60"/>
      <c r="AA25" s="21"/>
      <c r="AB25" s="59">
        <f t="shared" si="15"/>
        <v>0</v>
      </c>
      <c r="AC25" s="97">
        <f t="shared" si="6"/>
        <v>0</v>
      </c>
      <c r="AD25" s="17"/>
      <c r="AE25" s="18"/>
    </row>
    <row r="26" spans="2:31" ht="15" customHeight="1" x14ac:dyDescent="0.35">
      <c r="B26" s="28" t="s">
        <v>26</v>
      </c>
      <c r="C26" s="19">
        <v>316</v>
      </c>
      <c r="D26" s="82">
        <v>90834</v>
      </c>
      <c r="E26" s="4">
        <v>0.82750000000000001</v>
      </c>
      <c r="F26" s="112">
        <f>'Units by %'!E17</f>
        <v>0</v>
      </c>
      <c r="G26" s="112">
        <f t="shared" si="9"/>
        <v>0</v>
      </c>
      <c r="H26" s="21"/>
      <c r="I26" s="21"/>
      <c r="J26" s="21"/>
      <c r="K26" s="21">
        <f t="shared" si="16"/>
        <v>0</v>
      </c>
      <c r="L26" s="23"/>
      <c r="M26" s="21"/>
      <c r="N26" s="16"/>
      <c r="O26" s="70">
        <f t="shared" si="13"/>
        <v>0</v>
      </c>
      <c r="P26" s="85"/>
      <c r="Q26" s="87">
        <f t="shared" si="17"/>
        <v>0</v>
      </c>
      <c r="R26" s="87">
        <f t="shared" si="18"/>
        <v>0</v>
      </c>
      <c r="S26" s="87">
        <f t="shared" si="14"/>
        <v>0</v>
      </c>
      <c r="T26" s="60">
        <f t="shared" si="7"/>
        <v>0</v>
      </c>
      <c r="U26" s="87">
        <f>IF(L26&gt;G26,"Mod Error",L26*$E26*$G$9*$L$9)</f>
        <v>0</v>
      </c>
      <c r="V26" s="87">
        <f>IF(M26&gt;G26,"Mod Error",M26*E26*$G$9*$M$9)</f>
        <v>0</v>
      </c>
      <c r="W26" s="86">
        <f t="shared" si="4"/>
        <v>0</v>
      </c>
      <c r="X26" s="60"/>
      <c r="Y26" s="86">
        <f t="shared" si="8"/>
        <v>0</v>
      </c>
      <c r="Z26" s="60"/>
      <c r="AA26" s="21"/>
      <c r="AB26" s="59">
        <f t="shared" si="15"/>
        <v>0</v>
      </c>
      <c r="AC26" s="97">
        <f t="shared" si="6"/>
        <v>0</v>
      </c>
      <c r="AD26" s="17"/>
      <c r="AE26" s="18"/>
    </row>
    <row r="27" spans="2:31" ht="15" customHeight="1" x14ac:dyDescent="0.35">
      <c r="B27" s="28" t="s">
        <v>27</v>
      </c>
      <c r="C27" s="19">
        <v>317</v>
      </c>
      <c r="D27" s="82">
        <v>90846</v>
      </c>
      <c r="E27" s="4">
        <v>0.62060000000000004</v>
      </c>
      <c r="F27" s="112">
        <f>'Units by %'!E18</f>
        <v>0</v>
      </c>
      <c r="G27" s="112">
        <f t="shared" si="9"/>
        <v>0</v>
      </c>
      <c r="H27" s="21"/>
      <c r="I27" s="21"/>
      <c r="J27" s="21"/>
      <c r="K27" s="21">
        <f t="shared" si="16"/>
        <v>0</v>
      </c>
      <c r="L27" s="21"/>
      <c r="M27" s="21"/>
      <c r="N27" s="16"/>
      <c r="O27" s="70">
        <f t="shared" si="13"/>
        <v>0</v>
      </c>
      <c r="P27" s="85"/>
      <c r="Q27" s="87">
        <f t="shared" si="17"/>
        <v>0</v>
      </c>
      <c r="R27" s="87">
        <f t="shared" si="18"/>
        <v>0</v>
      </c>
      <c r="S27" s="87">
        <f t="shared" si="14"/>
        <v>0</v>
      </c>
      <c r="T27" s="60">
        <f t="shared" si="7"/>
        <v>0</v>
      </c>
      <c r="U27" s="87">
        <f>IF(L27&gt;G27,"Mod Error",L27*$E27*$G$9*$L$9)</f>
        <v>0</v>
      </c>
      <c r="V27" s="87">
        <f>IF(M27&gt;G27,"Mod Error",M27*E27*$G$9*$M$9)</f>
        <v>0</v>
      </c>
      <c r="W27" s="86">
        <f t="shared" si="4"/>
        <v>0</v>
      </c>
      <c r="X27" s="60"/>
      <c r="Y27" s="86">
        <f t="shared" si="8"/>
        <v>0</v>
      </c>
      <c r="Z27" s="60"/>
      <c r="AA27" s="21"/>
      <c r="AB27" s="59">
        <f t="shared" si="15"/>
        <v>0</v>
      </c>
      <c r="AC27" s="97">
        <f t="shared" si="6"/>
        <v>0</v>
      </c>
      <c r="AD27" s="17"/>
      <c r="AE27" s="18"/>
    </row>
    <row r="28" spans="2:31" ht="15" customHeight="1" x14ac:dyDescent="0.35">
      <c r="B28" s="22" t="s">
        <v>28</v>
      </c>
      <c r="C28" s="19">
        <v>317</v>
      </c>
      <c r="D28" s="82">
        <v>90847</v>
      </c>
      <c r="E28" s="4">
        <v>1.2413000000000001</v>
      </c>
      <c r="F28" s="112">
        <f>'Units by %'!E19</f>
        <v>0</v>
      </c>
      <c r="G28" s="112">
        <f t="shared" si="9"/>
        <v>0</v>
      </c>
      <c r="H28" s="21">
        <v>0</v>
      </c>
      <c r="I28" s="21"/>
      <c r="J28" s="21"/>
      <c r="K28" s="21">
        <f t="shared" si="16"/>
        <v>0</v>
      </c>
      <c r="L28" s="21"/>
      <c r="M28" s="21"/>
      <c r="N28" s="16"/>
      <c r="O28" s="70">
        <f t="shared" si="13"/>
        <v>0</v>
      </c>
      <c r="P28" s="85"/>
      <c r="Q28" s="87">
        <f t="shared" si="17"/>
        <v>0</v>
      </c>
      <c r="R28" s="87">
        <f t="shared" si="18"/>
        <v>0</v>
      </c>
      <c r="S28" s="87">
        <f t="shared" si="14"/>
        <v>0</v>
      </c>
      <c r="T28" s="60">
        <f t="shared" si="7"/>
        <v>0</v>
      </c>
      <c r="U28" s="87">
        <f>IF(L28&gt;G28,"Mod Error",L28*$E28*$G$9*$L$9)</f>
        <v>0</v>
      </c>
      <c r="V28" s="87">
        <f>IF(M28&gt;G28,"Mod Error",M28*E28*$G$9*$M$9)</f>
        <v>0</v>
      </c>
      <c r="W28" s="86">
        <f t="shared" si="4"/>
        <v>0</v>
      </c>
      <c r="X28" s="60"/>
      <c r="Y28" s="86">
        <f t="shared" si="8"/>
        <v>0</v>
      </c>
      <c r="Z28" s="60"/>
      <c r="AA28" s="21"/>
      <c r="AB28" s="59">
        <f t="shared" si="15"/>
        <v>0</v>
      </c>
      <c r="AC28" s="97">
        <f t="shared" si="6"/>
        <v>0</v>
      </c>
      <c r="AD28" s="17"/>
      <c r="AE28" s="18"/>
    </row>
    <row r="29" spans="2:31" ht="15" customHeight="1" x14ac:dyDescent="0.35">
      <c r="B29" s="22" t="s">
        <v>29</v>
      </c>
      <c r="C29" s="19">
        <v>318</v>
      </c>
      <c r="D29" s="82">
        <v>90849</v>
      </c>
      <c r="E29" s="4">
        <v>0.32069999999999999</v>
      </c>
      <c r="F29" s="112">
        <f>'Units by %'!E20</f>
        <v>0</v>
      </c>
      <c r="G29" s="112">
        <f t="shared" si="9"/>
        <v>0</v>
      </c>
      <c r="H29" s="21"/>
      <c r="I29" s="21"/>
      <c r="J29" s="21"/>
      <c r="K29" s="21"/>
      <c r="L29" s="21"/>
      <c r="M29" s="21"/>
      <c r="N29" s="16"/>
      <c r="O29" s="70">
        <f t="shared" si="13"/>
        <v>0</v>
      </c>
      <c r="P29" s="85"/>
      <c r="Q29" s="87">
        <f t="shared" si="17"/>
        <v>0</v>
      </c>
      <c r="R29" s="87">
        <f t="shared" si="18"/>
        <v>0</v>
      </c>
      <c r="S29" s="87">
        <f t="shared" si="14"/>
        <v>0</v>
      </c>
      <c r="T29" s="60">
        <f t="shared" si="7"/>
        <v>0</v>
      </c>
      <c r="U29" s="87">
        <f t="shared" ref="U29:U55" si="19">IF(L29&gt;G29,"Mod Error",L29*$E29*$G$9*$L$9)</f>
        <v>0</v>
      </c>
      <c r="V29" s="87">
        <f>IF(M29&gt;G29,"Mod Error",M29*E29*$G$9*$M$10)</f>
        <v>0</v>
      </c>
      <c r="W29" s="86">
        <f t="shared" si="4"/>
        <v>0</v>
      </c>
      <c r="X29" s="60"/>
      <c r="Y29" s="86">
        <f t="shared" si="8"/>
        <v>0</v>
      </c>
      <c r="Z29" s="60"/>
      <c r="AA29" s="21"/>
      <c r="AB29" s="59">
        <f t="shared" si="15"/>
        <v>0</v>
      </c>
      <c r="AC29" s="97">
        <f t="shared" si="6"/>
        <v>0</v>
      </c>
      <c r="AD29" s="17"/>
      <c r="AE29" s="18"/>
    </row>
    <row r="30" spans="2:31" ht="15" customHeight="1" x14ac:dyDescent="0.35">
      <c r="B30" s="22" t="s">
        <v>30</v>
      </c>
      <c r="C30" s="19">
        <v>318</v>
      </c>
      <c r="D30" s="82">
        <v>90853</v>
      </c>
      <c r="E30" s="4">
        <v>0.32069999999999999</v>
      </c>
      <c r="F30" s="112">
        <f>'Units by %'!E21</f>
        <v>0</v>
      </c>
      <c r="G30" s="112">
        <f t="shared" si="9"/>
        <v>0</v>
      </c>
      <c r="H30" s="21"/>
      <c r="I30" s="21"/>
      <c r="J30" s="21"/>
      <c r="K30" s="21"/>
      <c r="L30" s="21"/>
      <c r="M30" s="21"/>
      <c r="N30" s="16"/>
      <c r="O30" s="70">
        <f t="shared" si="13"/>
        <v>0</v>
      </c>
      <c r="P30" s="85"/>
      <c r="Q30" s="87">
        <f t="shared" si="17"/>
        <v>0</v>
      </c>
      <c r="R30" s="87">
        <f t="shared" si="18"/>
        <v>0</v>
      </c>
      <c r="S30" s="87">
        <f t="shared" si="14"/>
        <v>0</v>
      </c>
      <c r="T30" s="60">
        <f t="shared" si="7"/>
        <v>0</v>
      </c>
      <c r="U30" s="87">
        <f t="shared" si="19"/>
        <v>0</v>
      </c>
      <c r="V30" s="87">
        <f>IF(M30&gt;G30,"Mod Error",M30*E30*$G$9*$M$10)</f>
        <v>0</v>
      </c>
      <c r="W30" s="86">
        <f t="shared" si="4"/>
        <v>0</v>
      </c>
      <c r="X30" s="60"/>
      <c r="Y30" s="86">
        <f t="shared" si="8"/>
        <v>0</v>
      </c>
      <c r="Z30" s="60"/>
      <c r="AA30" s="21"/>
      <c r="AB30" s="59">
        <f t="shared" si="15"/>
        <v>0</v>
      </c>
      <c r="AC30" s="97">
        <f t="shared" si="6"/>
        <v>0</v>
      </c>
      <c r="AD30" s="17"/>
      <c r="AE30" s="18"/>
    </row>
    <row r="31" spans="2:31" ht="15" customHeight="1" x14ac:dyDescent="0.35">
      <c r="B31" s="22" t="s">
        <v>31</v>
      </c>
      <c r="C31" s="19">
        <v>318</v>
      </c>
      <c r="D31" s="82">
        <v>90853</v>
      </c>
      <c r="E31" s="4">
        <f>E30*0.7</f>
        <v>0.22448999999999997</v>
      </c>
      <c r="F31" s="112">
        <f>'Units by %'!E22</f>
        <v>0</v>
      </c>
      <c r="G31" s="112">
        <f t="shared" si="9"/>
        <v>0</v>
      </c>
      <c r="H31" s="21"/>
      <c r="I31" s="21"/>
      <c r="J31" s="21"/>
      <c r="K31" s="21"/>
      <c r="L31" s="21"/>
      <c r="M31" s="21"/>
      <c r="N31" s="27"/>
      <c r="O31" s="69">
        <f t="shared" si="13"/>
        <v>0</v>
      </c>
      <c r="P31" s="85"/>
      <c r="Q31" s="60">
        <f t="shared" si="17"/>
        <v>0</v>
      </c>
      <c r="R31" s="87">
        <f t="shared" si="18"/>
        <v>0</v>
      </c>
      <c r="S31" s="60">
        <f t="shared" si="14"/>
        <v>0</v>
      </c>
      <c r="T31" s="60">
        <f t="shared" si="7"/>
        <v>0</v>
      </c>
      <c r="U31" s="87">
        <f t="shared" si="19"/>
        <v>0</v>
      </c>
      <c r="V31" s="87">
        <f>IF(M31&gt;G31,"Mod Error",M31*E31*$G$9*$M$10)</f>
        <v>0</v>
      </c>
      <c r="W31" s="86">
        <f t="shared" si="4"/>
        <v>0</v>
      </c>
      <c r="X31" s="60"/>
      <c r="Y31" s="86">
        <f t="shared" si="8"/>
        <v>0</v>
      </c>
      <c r="Z31" s="60"/>
      <c r="AA31" s="21"/>
      <c r="AB31" s="59">
        <f t="shared" si="15"/>
        <v>0</v>
      </c>
      <c r="AC31" s="99">
        <f t="shared" si="6"/>
        <v>0</v>
      </c>
      <c r="AD31" s="17"/>
      <c r="AE31" s="18"/>
    </row>
    <row r="32" spans="2:31" ht="15" customHeight="1" x14ac:dyDescent="0.35">
      <c r="B32" s="22" t="s">
        <v>32</v>
      </c>
      <c r="C32" s="19">
        <v>2007</v>
      </c>
      <c r="D32" s="82" t="s">
        <v>33</v>
      </c>
      <c r="E32" s="4">
        <v>0.1134</v>
      </c>
      <c r="F32" s="112">
        <f>'Units by %'!E23</f>
        <v>0</v>
      </c>
      <c r="G32" s="112">
        <f t="shared" si="9"/>
        <v>0</v>
      </c>
      <c r="H32" s="21"/>
      <c r="I32" s="21"/>
      <c r="J32" s="21"/>
      <c r="K32" s="21"/>
      <c r="L32" s="21">
        <v>0</v>
      </c>
      <c r="M32" s="24" t="s">
        <v>114</v>
      </c>
      <c r="N32" s="27"/>
      <c r="O32" s="69">
        <f t="shared" si="13"/>
        <v>0</v>
      </c>
      <c r="P32" s="85"/>
      <c r="Q32" s="60">
        <f t="shared" si="17"/>
        <v>0</v>
      </c>
      <c r="R32" s="87">
        <f t="shared" si="18"/>
        <v>0</v>
      </c>
      <c r="S32" s="60">
        <f t="shared" si="14"/>
        <v>0</v>
      </c>
      <c r="T32" s="60">
        <f t="shared" si="7"/>
        <v>0</v>
      </c>
      <c r="U32" s="87">
        <f t="shared" si="19"/>
        <v>0</v>
      </c>
      <c r="V32" s="61" t="s">
        <v>114</v>
      </c>
      <c r="W32" s="86">
        <f t="shared" si="4"/>
        <v>0</v>
      </c>
      <c r="X32" s="60"/>
      <c r="Y32" s="86">
        <f t="shared" si="8"/>
        <v>0</v>
      </c>
      <c r="Z32" s="60"/>
      <c r="AA32" s="21"/>
      <c r="AB32" s="59">
        <f t="shared" si="15"/>
        <v>0</v>
      </c>
      <c r="AC32" s="99">
        <f t="shared" si="6"/>
        <v>0</v>
      </c>
      <c r="AD32" s="17"/>
      <c r="AE32" s="18"/>
    </row>
    <row r="33" spans="2:31" ht="15" customHeight="1" x14ac:dyDescent="0.35">
      <c r="B33" s="22" t="s">
        <v>34</v>
      </c>
      <c r="C33" s="19">
        <v>2007</v>
      </c>
      <c r="D33" s="82" t="s">
        <v>35</v>
      </c>
      <c r="E33" s="4">
        <f>E32*0.26</f>
        <v>2.9484E-2</v>
      </c>
      <c r="F33" s="112">
        <f>'Units by %'!E24</f>
        <v>0</v>
      </c>
      <c r="G33" s="112">
        <f t="shared" si="9"/>
        <v>0</v>
      </c>
      <c r="H33" s="21"/>
      <c r="I33" s="21"/>
      <c r="J33" s="21"/>
      <c r="K33" s="21"/>
      <c r="L33" s="21"/>
      <c r="M33" s="24" t="s">
        <v>114</v>
      </c>
      <c r="N33" s="27"/>
      <c r="O33" s="69">
        <f t="shared" si="13"/>
        <v>0</v>
      </c>
      <c r="P33" s="85"/>
      <c r="Q33" s="60">
        <f t="shared" si="17"/>
        <v>0</v>
      </c>
      <c r="R33" s="87">
        <f t="shared" si="18"/>
        <v>0</v>
      </c>
      <c r="S33" s="60">
        <f t="shared" si="14"/>
        <v>0</v>
      </c>
      <c r="T33" s="60">
        <f t="shared" si="7"/>
        <v>0</v>
      </c>
      <c r="U33" s="87">
        <f t="shared" si="19"/>
        <v>0</v>
      </c>
      <c r="V33" s="61" t="s">
        <v>114</v>
      </c>
      <c r="W33" s="86">
        <f t="shared" si="4"/>
        <v>0</v>
      </c>
      <c r="X33" s="60"/>
      <c r="Y33" s="86">
        <f t="shared" si="8"/>
        <v>0</v>
      </c>
      <c r="Z33" s="60"/>
      <c r="AA33" s="21"/>
      <c r="AB33" s="59">
        <f t="shared" si="15"/>
        <v>0</v>
      </c>
      <c r="AC33" s="99">
        <f t="shared" si="6"/>
        <v>0</v>
      </c>
      <c r="AD33" s="17"/>
      <c r="AE33" s="18"/>
    </row>
    <row r="34" spans="2:31" ht="15" customHeight="1" x14ac:dyDescent="0.35">
      <c r="B34" s="22" t="s">
        <v>36</v>
      </c>
      <c r="C34" s="19">
        <v>310</v>
      </c>
      <c r="D34" s="82">
        <v>96110</v>
      </c>
      <c r="E34" s="4">
        <v>0.82750000000000001</v>
      </c>
      <c r="F34" s="112">
        <f>'Units by %'!E25</f>
        <v>0</v>
      </c>
      <c r="G34" s="112">
        <f t="shared" si="9"/>
        <v>0</v>
      </c>
      <c r="H34" s="21"/>
      <c r="I34" s="21"/>
      <c r="J34" s="21"/>
      <c r="K34" s="21"/>
      <c r="L34" s="21"/>
      <c r="M34" s="24" t="s">
        <v>114</v>
      </c>
      <c r="N34" s="16"/>
      <c r="O34" s="69">
        <f t="shared" si="13"/>
        <v>0</v>
      </c>
      <c r="P34" s="85"/>
      <c r="Q34" s="60">
        <f t="shared" si="17"/>
        <v>0</v>
      </c>
      <c r="R34" s="87">
        <f t="shared" si="18"/>
        <v>0</v>
      </c>
      <c r="S34" s="60">
        <f t="shared" si="14"/>
        <v>0</v>
      </c>
      <c r="T34" s="60">
        <f t="shared" si="7"/>
        <v>0</v>
      </c>
      <c r="U34" s="87">
        <f t="shared" si="19"/>
        <v>0</v>
      </c>
      <c r="V34" s="61" t="s">
        <v>114</v>
      </c>
      <c r="W34" s="86">
        <f t="shared" si="4"/>
        <v>0</v>
      </c>
      <c r="X34" s="60"/>
      <c r="Y34" s="86">
        <f t="shared" si="8"/>
        <v>0</v>
      </c>
      <c r="Z34" s="60"/>
      <c r="AA34" s="21"/>
      <c r="AB34" s="59">
        <f t="shared" si="15"/>
        <v>0</v>
      </c>
      <c r="AC34" s="99">
        <f t="shared" si="6"/>
        <v>0</v>
      </c>
      <c r="AD34" s="17"/>
      <c r="AE34" s="18"/>
    </row>
    <row r="35" spans="2:31" ht="15" customHeight="1" x14ac:dyDescent="0.35">
      <c r="B35" s="22" t="s">
        <v>37</v>
      </c>
      <c r="C35" s="19">
        <v>310</v>
      </c>
      <c r="D35" s="82">
        <v>96112</v>
      </c>
      <c r="E35" s="4">
        <v>0.82750000000000001</v>
      </c>
      <c r="F35" s="112">
        <f>'Units by %'!E26</f>
        <v>0</v>
      </c>
      <c r="G35" s="112">
        <f t="shared" si="9"/>
        <v>0</v>
      </c>
      <c r="H35" s="21"/>
      <c r="I35" s="21"/>
      <c r="J35" s="21"/>
      <c r="K35" s="21"/>
      <c r="L35" s="21"/>
      <c r="M35" s="24" t="s">
        <v>114</v>
      </c>
      <c r="N35" s="16"/>
      <c r="O35" s="69">
        <f t="shared" si="13"/>
        <v>0</v>
      </c>
      <c r="P35" s="85"/>
      <c r="Q35" s="60">
        <f t="shared" si="17"/>
        <v>0</v>
      </c>
      <c r="R35" s="87">
        <f t="shared" si="18"/>
        <v>0</v>
      </c>
      <c r="S35" s="60">
        <f t="shared" si="14"/>
        <v>0</v>
      </c>
      <c r="T35" s="60">
        <f t="shared" si="7"/>
        <v>0</v>
      </c>
      <c r="U35" s="87">
        <f t="shared" si="19"/>
        <v>0</v>
      </c>
      <c r="V35" s="61" t="s">
        <v>114</v>
      </c>
      <c r="W35" s="86">
        <f t="shared" si="4"/>
        <v>0</v>
      </c>
      <c r="X35" s="60"/>
      <c r="Y35" s="86">
        <f t="shared" si="8"/>
        <v>0</v>
      </c>
      <c r="Z35" s="60"/>
      <c r="AA35" s="21"/>
      <c r="AB35" s="59">
        <f t="shared" si="15"/>
        <v>0</v>
      </c>
      <c r="AC35" s="99">
        <f t="shared" si="6"/>
        <v>0</v>
      </c>
      <c r="AD35" s="17"/>
      <c r="AE35" s="18"/>
    </row>
    <row r="36" spans="2:31" ht="15" customHeight="1" x14ac:dyDescent="0.35">
      <c r="B36" s="22" t="s">
        <v>38</v>
      </c>
      <c r="C36" s="19">
        <v>310</v>
      </c>
      <c r="D36" s="82">
        <v>96113</v>
      </c>
      <c r="E36" s="4">
        <v>0.45979999999999999</v>
      </c>
      <c r="F36" s="112">
        <f>'Units by %'!E27</f>
        <v>0</v>
      </c>
      <c r="G36" s="112">
        <f t="shared" si="9"/>
        <v>0</v>
      </c>
      <c r="H36" s="21"/>
      <c r="I36" s="21"/>
      <c r="J36" s="21"/>
      <c r="K36" s="21"/>
      <c r="L36" s="21"/>
      <c r="M36" s="24" t="s">
        <v>114</v>
      </c>
      <c r="N36" s="16"/>
      <c r="O36" s="69">
        <f t="shared" si="13"/>
        <v>0</v>
      </c>
      <c r="P36" s="85"/>
      <c r="Q36" s="60">
        <f t="shared" si="17"/>
        <v>0</v>
      </c>
      <c r="R36" s="87">
        <f t="shared" si="18"/>
        <v>0</v>
      </c>
      <c r="S36" s="60">
        <f t="shared" si="14"/>
        <v>0</v>
      </c>
      <c r="T36" s="60">
        <f t="shared" si="7"/>
        <v>0</v>
      </c>
      <c r="U36" s="87">
        <f t="shared" si="19"/>
        <v>0</v>
      </c>
      <c r="V36" s="61" t="s">
        <v>114</v>
      </c>
      <c r="W36" s="86">
        <f t="shared" si="4"/>
        <v>0</v>
      </c>
      <c r="X36" s="60"/>
      <c r="Y36" s="86">
        <f t="shared" si="8"/>
        <v>0</v>
      </c>
      <c r="Z36" s="60"/>
      <c r="AA36" s="21"/>
      <c r="AB36" s="59">
        <f t="shared" si="15"/>
        <v>0</v>
      </c>
      <c r="AC36" s="99">
        <f t="shared" si="6"/>
        <v>0</v>
      </c>
      <c r="AD36" s="17"/>
      <c r="AE36" s="18"/>
    </row>
    <row r="37" spans="2:31" ht="15" customHeight="1" x14ac:dyDescent="0.35">
      <c r="B37" s="22" t="s">
        <v>39</v>
      </c>
      <c r="C37" s="19">
        <v>310</v>
      </c>
      <c r="D37" s="82">
        <v>96130</v>
      </c>
      <c r="E37" s="4">
        <v>0.45979999999999999</v>
      </c>
      <c r="F37" s="112">
        <f>'Units by %'!E28</f>
        <v>0</v>
      </c>
      <c r="G37" s="112">
        <f t="shared" si="9"/>
        <v>0</v>
      </c>
      <c r="H37" s="21"/>
      <c r="I37" s="21"/>
      <c r="J37" s="21"/>
      <c r="K37" s="21"/>
      <c r="L37" s="21"/>
      <c r="M37" s="24" t="s">
        <v>114</v>
      </c>
      <c r="N37" s="16"/>
      <c r="O37" s="69">
        <f t="shared" si="13"/>
        <v>0</v>
      </c>
      <c r="P37" s="85"/>
      <c r="Q37" s="60">
        <f t="shared" si="17"/>
        <v>0</v>
      </c>
      <c r="R37" s="87">
        <f t="shared" si="18"/>
        <v>0</v>
      </c>
      <c r="S37" s="60">
        <f t="shared" si="14"/>
        <v>0</v>
      </c>
      <c r="T37" s="60">
        <f t="shared" si="7"/>
        <v>0</v>
      </c>
      <c r="U37" s="87">
        <f t="shared" si="19"/>
        <v>0</v>
      </c>
      <c r="V37" s="61" t="s">
        <v>114</v>
      </c>
      <c r="W37" s="86">
        <f t="shared" si="4"/>
        <v>0</v>
      </c>
      <c r="X37" s="60"/>
      <c r="Y37" s="86">
        <f t="shared" si="8"/>
        <v>0</v>
      </c>
      <c r="Z37" s="60"/>
      <c r="AA37" s="21"/>
      <c r="AB37" s="59">
        <f t="shared" si="15"/>
        <v>0</v>
      </c>
      <c r="AC37" s="99">
        <f t="shared" si="6"/>
        <v>0</v>
      </c>
      <c r="AD37" s="17"/>
      <c r="AE37" s="18"/>
    </row>
    <row r="38" spans="2:31" ht="15" customHeight="1" x14ac:dyDescent="0.35">
      <c r="B38" s="22" t="s">
        <v>40</v>
      </c>
      <c r="C38" s="19">
        <v>310</v>
      </c>
      <c r="D38" s="82">
        <v>96131</v>
      </c>
      <c r="E38" s="4">
        <v>0</v>
      </c>
      <c r="F38" s="112">
        <f>'Units by %'!E29</f>
        <v>0</v>
      </c>
      <c r="G38" s="112">
        <f t="shared" si="9"/>
        <v>0</v>
      </c>
      <c r="H38" s="21"/>
      <c r="I38" s="21"/>
      <c r="J38" s="21"/>
      <c r="K38" s="21"/>
      <c r="L38" s="21"/>
      <c r="M38" s="24" t="s">
        <v>114</v>
      </c>
      <c r="N38" s="16"/>
      <c r="O38" s="69">
        <f t="shared" si="13"/>
        <v>0</v>
      </c>
      <c r="P38" s="85"/>
      <c r="Q38" s="60">
        <f t="shared" si="17"/>
        <v>0</v>
      </c>
      <c r="R38" s="87">
        <f t="shared" si="18"/>
        <v>0</v>
      </c>
      <c r="S38" s="60">
        <f t="shared" si="14"/>
        <v>0</v>
      </c>
      <c r="T38" s="60">
        <f t="shared" si="7"/>
        <v>0</v>
      </c>
      <c r="U38" s="87">
        <f t="shared" si="19"/>
        <v>0</v>
      </c>
      <c r="V38" s="61" t="s">
        <v>114</v>
      </c>
      <c r="W38" s="86">
        <f t="shared" si="4"/>
        <v>0</v>
      </c>
      <c r="X38" s="60"/>
      <c r="Y38" s="86">
        <f t="shared" si="8"/>
        <v>0</v>
      </c>
      <c r="Z38" s="60"/>
      <c r="AA38" s="21"/>
      <c r="AB38" s="59">
        <f t="shared" si="15"/>
        <v>0</v>
      </c>
      <c r="AC38" s="99">
        <f t="shared" si="6"/>
        <v>0</v>
      </c>
      <c r="AD38" s="17"/>
      <c r="AE38" s="18"/>
    </row>
    <row r="39" spans="2:31" ht="15" customHeight="1" x14ac:dyDescent="0.35">
      <c r="B39" s="22" t="s">
        <v>41</v>
      </c>
      <c r="C39" s="19">
        <v>310</v>
      </c>
      <c r="D39" s="82">
        <v>96136</v>
      </c>
      <c r="E39" s="4">
        <v>0.82750000000000001</v>
      </c>
      <c r="F39" s="112">
        <f>'Units by %'!E30</f>
        <v>0</v>
      </c>
      <c r="G39" s="112">
        <f t="shared" si="9"/>
        <v>0</v>
      </c>
      <c r="H39" s="21"/>
      <c r="I39" s="21"/>
      <c r="J39" s="21"/>
      <c r="K39" s="21"/>
      <c r="L39" s="21"/>
      <c r="M39" s="24" t="s">
        <v>114</v>
      </c>
      <c r="N39" s="16"/>
      <c r="O39" s="69">
        <f t="shared" si="13"/>
        <v>0</v>
      </c>
      <c r="P39" s="85"/>
      <c r="Q39" s="60">
        <f t="shared" si="17"/>
        <v>0</v>
      </c>
      <c r="R39" s="87">
        <f t="shared" si="18"/>
        <v>0</v>
      </c>
      <c r="S39" s="60">
        <f t="shared" si="14"/>
        <v>0</v>
      </c>
      <c r="T39" s="60">
        <f t="shared" si="7"/>
        <v>0</v>
      </c>
      <c r="U39" s="87">
        <f t="shared" si="19"/>
        <v>0</v>
      </c>
      <c r="V39" s="61" t="s">
        <v>114</v>
      </c>
      <c r="W39" s="86">
        <f t="shared" si="4"/>
        <v>0</v>
      </c>
      <c r="X39" s="60"/>
      <c r="Y39" s="86">
        <f t="shared" si="8"/>
        <v>0</v>
      </c>
      <c r="Z39" s="60"/>
      <c r="AA39" s="21"/>
      <c r="AB39" s="59">
        <f t="shared" si="15"/>
        <v>0</v>
      </c>
      <c r="AC39" s="99">
        <f t="shared" si="6"/>
        <v>0</v>
      </c>
      <c r="AD39" s="17"/>
      <c r="AE39" s="18"/>
    </row>
    <row r="40" spans="2:31" ht="15" customHeight="1" x14ac:dyDescent="0.35">
      <c r="B40" s="22" t="s">
        <v>42</v>
      </c>
      <c r="C40" s="19">
        <v>310</v>
      </c>
      <c r="D40" s="82">
        <v>96137</v>
      </c>
      <c r="E40" s="4">
        <v>0.45979999999999999</v>
      </c>
      <c r="F40" s="112">
        <f>'Units by %'!E31</f>
        <v>0</v>
      </c>
      <c r="G40" s="112">
        <f t="shared" si="9"/>
        <v>0</v>
      </c>
      <c r="H40" s="21"/>
      <c r="I40" s="21"/>
      <c r="J40" s="21"/>
      <c r="K40" s="21"/>
      <c r="L40" s="21"/>
      <c r="M40" s="24" t="s">
        <v>114</v>
      </c>
      <c r="N40" s="16"/>
      <c r="O40" s="69">
        <f t="shared" si="13"/>
        <v>0</v>
      </c>
      <c r="P40" s="85"/>
      <c r="Q40" s="60">
        <f t="shared" si="17"/>
        <v>0</v>
      </c>
      <c r="R40" s="87">
        <f t="shared" si="18"/>
        <v>0</v>
      </c>
      <c r="S40" s="60">
        <f t="shared" si="14"/>
        <v>0</v>
      </c>
      <c r="T40" s="60">
        <f t="shared" si="7"/>
        <v>0</v>
      </c>
      <c r="U40" s="87">
        <f t="shared" si="19"/>
        <v>0</v>
      </c>
      <c r="V40" s="61" t="s">
        <v>114</v>
      </c>
      <c r="W40" s="86">
        <f t="shared" si="4"/>
        <v>0</v>
      </c>
      <c r="X40" s="60"/>
      <c r="Y40" s="86">
        <f t="shared" si="8"/>
        <v>0</v>
      </c>
      <c r="Z40" s="60"/>
      <c r="AA40" s="21"/>
      <c r="AB40" s="59">
        <f t="shared" si="15"/>
        <v>0</v>
      </c>
      <c r="AC40" s="99">
        <f t="shared" si="6"/>
        <v>0</v>
      </c>
      <c r="AD40" s="17"/>
      <c r="AE40" s="18"/>
    </row>
    <row r="41" spans="2:31" ht="15" customHeight="1" x14ac:dyDescent="0.35">
      <c r="B41" s="22" t="s">
        <v>43</v>
      </c>
      <c r="C41" s="19">
        <v>310</v>
      </c>
      <c r="D41" s="82">
        <v>96116</v>
      </c>
      <c r="E41" s="4">
        <v>1.2413000000000001</v>
      </c>
      <c r="F41" s="112">
        <f>'Units by %'!E32</f>
        <v>0</v>
      </c>
      <c r="G41" s="112">
        <f t="shared" si="9"/>
        <v>0</v>
      </c>
      <c r="H41" s="21"/>
      <c r="I41" s="21"/>
      <c r="J41" s="21"/>
      <c r="K41" s="21"/>
      <c r="L41" s="21"/>
      <c r="M41" s="24" t="s">
        <v>114</v>
      </c>
      <c r="N41" s="16"/>
      <c r="O41" s="69">
        <f t="shared" si="13"/>
        <v>0</v>
      </c>
      <c r="P41" s="85"/>
      <c r="Q41" s="60">
        <f t="shared" si="17"/>
        <v>0</v>
      </c>
      <c r="R41" s="87">
        <f t="shared" si="18"/>
        <v>0</v>
      </c>
      <c r="S41" s="60">
        <f t="shared" si="14"/>
        <v>0</v>
      </c>
      <c r="T41" s="60">
        <f t="shared" si="7"/>
        <v>0</v>
      </c>
      <c r="U41" s="87">
        <f t="shared" si="19"/>
        <v>0</v>
      </c>
      <c r="V41" s="61" t="s">
        <v>114</v>
      </c>
      <c r="W41" s="86">
        <f t="shared" si="4"/>
        <v>0</v>
      </c>
      <c r="X41" s="60"/>
      <c r="Y41" s="86">
        <f t="shared" si="8"/>
        <v>0</v>
      </c>
      <c r="Z41" s="60"/>
      <c r="AA41" s="21"/>
      <c r="AB41" s="59">
        <f t="shared" si="15"/>
        <v>0</v>
      </c>
      <c r="AC41" s="99">
        <f t="shared" si="6"/>
        <v>0</v>
      </c>
      <c r="AD41" s="17"/>
      <c r="AE41" s="18"/>
    </row>
    <row r="42" spans="2:31" ht="15" customHeight="1" x14ac:dyDescent="0.35">
      <c r="B42" s="22" t="s">
        <v>44</v>
      </c>
      <c r="C42" s="19">
        <v>310</v>
      </c>
      <c r="D42" s="82">
        <v>96121</v>
      </c>
      <c r="E42" s="4">
        <v>0.45979999999999999</v>
      </c>
      <c r="F42" s="112">
        <f>'Units by %'!E33</f>
        <v>0</v>
      </c>
      <c r="G42" s="112">
        <f t="shared" si="9"/>
        <v>0</v>
      </c>
      <c r="H42" s="21"/>
      <c r="I42" s="21"/>
      <c r="J42" s="21"/>
      <c r="K42" s="21"/>
      <c r="L42" s="21"/>
      <c r="M42" s="24" t="s">
        <v>114</v>
      </c>
      <c r="N42" s="16"/>
      <c r="O42" s="69">
        <f t="shared" si="13"/>
        <v>0</v>
      </c>
      <c r="P42" s="85"/>
      <c r="Q42" s="60">
        <f t="shared" si="17"/>
        <v>0</v>
      </c>
      <c r="R42" s="87">
        <f t="shared" si="18"/>
        <v>0</v>
      </c>
      <c r="S42" s="60">
        <f t="shared" si="14"/>
        <v>0</v>
      </c>
      <c r="T42" s="60">
        <f t="shared" si="7"/>
        <v>0</v>
      </c>
      <c r="U42" s="87">
        <f t="shared" si="19"/>
        <v>0</v>
      </c>
      <c r="V42" s="61" t="s">
        <v>114</v>
      </c>
      <c r="W42" s="86">
        <f t="shared" si="4"/>
        <v>0</v>
      </c>
      <c r="X42" s="60"/>
      <c r="Y42" s="86">
        <f t="shared" si="8"/>
        <v>0</v>
      </c>
      <c r="Z42" s="60"/>
      <c r="AA42" s="21"/>
      <c r="AB42" s="59">
        <f t="shared" si="15"/>
        <v>0</v>
      </c>
      <c r="AC42" s="99">
        <f t="shared" si="6"/>
        <v>0</v>
      </c>
      <c r="AD42" s="17"/>
      <c r="AE42" s="18"/>
    </row>
    <row r="43" spans="2:31" ht="15" customHeight="1" x14ac:dyDescent="0.35">
      <c r="B43" s="22" t="s">
        <v>45</v>
      </c>
      <c r="C43" s="19">
        <v>490</v>
      </c>
      <c r="D43" s="81">
        <v>90882</v>
      </c>
      <c r="E43" s="4">
        <v>0.28960000000000002</v>
      </c>
      <c r="F43" s="112">
        <f>'Units by %'!E34</f>
        <v>0</v>
      </c>
      <c r="G43" s="112">
        <f t="shared" si="9"/>
        <v>0</v>
      </c>
      <c r="H43" s="21"/>
      <c r="I43" s="21"/>
      <c r="J43" s="21"/>
      <c r="K43" s="21"/>
      <c r="L43" s="21"/>
      <c r="M43" s="24" t="s">
        <v>114</v>
      </c>
      <c r="N43" s="16"/>
      <c r="O43" s="69">
        <f t="shared" si="13"/>
        <v>0</v>
      </c>
      <c r="P43" s="85"/>
      <c r="Q43" s="60">
        <f t="shared" si="17"/>
        <v>0</v>
      </c>
      <c r="R43" s="87">
        <f t="shared" si="18"/>
        <v>0</v>
      </c>
      <c r="S43" s="60">
        <f t="shared" si="14"/>
        <v>0</v>
      </c>
      <c r="T43" s="60">
        <f t="shared" si="7"/>
        <v>0</v>
      </c>
      <c r="U43" s="87">
        <f t="shared" si="19"/>
        <v>0</v>
      </c>
      <c r="V43" s="61" t="s">
        <v>114</v>
      </c>
      <c r="W43" s="86">
        <f t="shared" si="4"/>
        <v>0</v>
      </c>
      <c r="X43" s="60"/>
      <c r="Y43" s="86">
        <f t="shared" si="8"/>
        <v>0</v>
      </c>
      <c r="Z43" s="60"/>
      <c r="AA43" s="21"/>
      <c r="AB43" s="59">
        <f t="shared" si="15"/>
        <v>0</v>
      </c>
      <c r="AC43" s="99">
        <f t="shared" si="6"/>
        <v>0</v>
      </c>
      <c r="AD43" s="17"/>
      <c r="AE43" s="18"/>
    </row>
    <row r="44" spans="2:31" ht="15" customHeight="1" x14ac:dyDescent="0.35">
      <c r="B44" s="26" t="s">
        <v>46</v>
      </c>
      <c r="C44" s="25" t="s">
        <v>113</v>
      </c>
      <c r="D44" s="83" t="s">
        <v>10</v>
      </c>
      <c r="E44" s="76">
        <v>0.66200000000000003</v>
      </c>
      <c r="F44" s="112">
        <f>'Units by %'!E35</f>
        <v>0</v>
      </c>
      <c r="G44" s="112">
        <f t="shared" si="9"/>
        <v>0</v>
      </c>
      <c r="H44" s="24" t="s">
        <v>114</v>
      </c>
      <c r="I44" s="24" t="s">
        <v>114</v>
      </c>
      <c r="J44" s="24" t="s">
        <v>114</v>
      </c>
      <c r="K44" s="21"/>
      <c r="L44" s="21"/>
      <c r="M44" s="24" t="s">
        <v>114</v>
      </c>
      <c r="N44" s="27"/>
      <c r="O44" s="69">
        <f t="shared" si="13"/>
        <v>0</v>
      </c>
      <c r="P44" s="85"/>
      <c r="Q44" s="61" t="s">
        <v>114</v>
      </c>
      <c r="R44" s="61" t="s">
        <v>114</v>
      </c>
      <c r="S44" s="61" t="s">
        <v>114</v>
      </c>
      <c r="T44" s="60">
        <f t="shared" si="7"/>
        <v>0</v>
      </c>
      <c r="U44" s="87">
        <f t="shared" si="19"/>
        <v>0</v>
      </c>
      <c r="V44" s="61" t="s">
        <v>114</v>
      </c>
      <c r="W44" s="86">
        <f t="shared" si="4"/>
        <v>0</v>
      </c>
      <c r="X44" s="60"/>
      <c r="Y44" s="86">
        <f t="shared" si="8"/>
        <v>0</v>
      </c>
      <c r="Z44" s="60"/>
      <c r="AA44" s="21"/>
      <c r="AB44" s="59">
        <f t="shared" si="15"/>
        <v>0</v>
      </c>
      <c r="AC44" s="99">
        <f t="shared" si="6"/>
        <v>0</v>
      </c>
      <c r="AD44" s="17"/>
      <c r="AE44" s="18"/>
    </row>
    <row r="45" spans="2:31" ht="15" customHeight="1" x14ac:dyDescent="0.35">
      <c r="B45" s="5" t="s">
        <v>47</v>
      </c>
      <c r="C45" s="13">
        <v>490</v>
      </c>
      <c r="D45" s="81">
        <v>99401</v>
      </c>
      <c r="E45" s="4">
        <v>0.25</v>
      </c>
      <c r="F45" s="112">
        <f>'Units by %'!E36</f>
        <v>0</v>
      </c>
      <c r="G45" s="112">
        <f t="shared" si="9"/>
        <v>0</v>
      </c>
      <c r="H45" s="24" t="s">
        <v>114</v>
      </c>
      <c r="I45" s="24" t="s">
        <v>114</v>
      </c>
      <c r="J45" s="24" t="s">
        <v>114</v>
      </c>
      <c r="K45" s="21"/>
      <c r="L45" s="21"/>
      <c r="M45" s="24" t="s">
        <v>114</v>
      </c>
      <c r="N45" s="27"/>
      <c r="O45" s="69">
        <f t="shared" si="13"/>
        <v>0</v>
      </c>
      <c r="P45" s="85"/>
      <c r="Q45" s="61" t="s">
        <v>114</v>
      </c>
      <c r="R45" s="61" t="s">
        <v>114</v>
      </c>
      <c r="S45" s="61" t="s">
        <v>114</v>
      </c>
      <c r="T45" s="60">
        <f t="shared" si="7"/>
        <v>0</v>
      </c>
      <c r="U45" s="87">
        <f t="shared" si="19"/>
        <v>0</v>
      </c>
      <c r="V45" s="61" t="s">
        <v>114</v>
      </c>
      <c r="W45" s="86">
        <f t="shared" si="4"/>
        <v>0</v>
      </c>
      <c r="X45" s="60"/>
      <c r="Y45" s="86">
        <f t="shared" si="8"/>
        <v>0</v>
      </c>
      <c r="Z45" s="60"/>
      <c r="AA45" s="21"/>
      <c r="AB45" s="59">
        <f t="shared" si="15"/>
        <v>0</v>
      </c>
      <c r="AC45" s="99">
        <f t="shared" si="6"/>
        <v>0</v>
      </c>
      <c r="AD45" s="17"/>
      <c r="AE45" s="18"/>
    </row>
    <row r="46" spans="2:31" ht="15" customHeight="1" x14ac:dyDescent="0.35">
      <c r="B46" s="5" t="s">
        <v>48</v>
      </c>
      <c r="C46" s="13">
        <v>490</v>
      </c>
      <c r="D46" s="81">
        <v>99402</v>
      </c>
      <c r="E46" s="4">
        <v>0.31030000000000002</v>
      </c>
      <c r="F46" s="112">
        <f>'Units by %'!E37</f>
        <v>0</v>
      </c>
      <c r="G46" s="112">
        <f t="shared" si="9"/>
        <v>0</v>
      </c>
      <c r="H46" s="24" t="s">
        <v>114</v>
      </c>
      <c r="I46" s="24" t="s">
        <v>114</v>
      </c>
      <c r="J46" s="24" t="s">
        <v>114</v>
      </c>
      <c r="K46" s="21"/>
      <c r="L46" s="21"/>
      <c r="M46" s="24" t="s">
        <v>114</v>
      </c>
      <c r="N46" s="27"/>
      <c r="O46" s="69">
        <f t="shared" si="13"/>
        <v>0</v>
      </c>
      <c r="P46" s="85"/>
      <c r="Q46" s="61" t="s">
        <v>114</v>
      </c>
      <c r="R46" s="61" t="s">
        <v>114</v>
      </c>
      <c r="S46" s="61" t="s">
        <v>114</v>
      </c>
      <c r="T46" s="60">
        <f t="shared" si="7"/>
        <v>0</v>
      </c>
      <c r="U46" s="87">
        <f t="shared" si="19"/>
        <v>0</v>
      </c>
      <c r="V46" s="61" t="s">
        <v>114</v>
      </c>
      <c r="W46" s="86">
        <f t="shared" si="4"/>
        <v>0</v>
      </c>
      <c r="X46" s="60"/>
      <c r="Y46" s="86">
        <f t="shared" si="8"/>
        <v>0</v>
      </c>
      <c r="Z46" s="60"/>
      <c r="AA46" s="21"/>
      <c r="AB46" s="59">
        <f t="shared" si="15"/>
        <v>0</v>
      </c>
      <c r="AC46" s="99">
        <f t="shared" si="6"/>
        <v>0</v>
      </c>
      <c r="AD46" s="17"/>
      <c r="AE46" s="18"/>
    </row>
    <row r="47" spans="2:31" ht="15" customHeight="1" x14ac:dyDescent="0.35">
      <c r="B47" s="5" t="s">
        <v>49</v>
      </c>
      <c r="C47" s="13">
        <v>490</v>
      </c>
      <c r="D47" s="81">
        <v>99403</v>
      </c>
      <c r="E47" s="4">
        <v>0.44819999999999999</v>
      </c>
      <c r="F47" s="112">
        <f>'Units by %'!E38</f>
        <v>0</v>
      </c>
      <c r="G47" s="112">
        <f t="shared" si="9"/>
        <v>0</v>
      </c>
      <c r="H47" s="24" t="s">
        <v>114</v>
      </c>
      <c r="I47" s="24" t="s">
        <v>114</v>
      </c>
      <c r="J47" s="24" t="s">
        <v>114</v>
      </c>
      <c r="K47" s="21"/>
      <c r="L47" s="21"/>
      <c r="M47" s="24" t="s">
        <v>114</v>
      </c>
      <c r="N47" s="27"/>
      <c r="O47" s="69">
        <f t="shared" si="13"/>
        <v>0</v>
      </c>
      <c r="P47" s="85"/>
      <c r="Q47" s="61" t="s">
        <v>114</v>
      </c>
      <c r="R47" s="61" t="s">
        <v>114</v>
      </c>
      <c r="S47" s="61" t="s">
        <v>114</v>
      </c>
      <c r="T47" s="60">
        <f t="shared" si="7"/>
        <v>0</v>
      </c>
      <c r="U47" s="87">
        <f t="shared" si="19"/>
        <v>0</v>
      </c>
      <c r="V47" s="61" t="s">
        <v>114</v>
      </c>
      <c r="W47" s="86">
        <f t="shared" si="4"/>
        <v>0</v>
      </c>
      <c r="X47" s="60"/>
      <c r="Y47" s="86">
        <f t="shared" si="8"/>
        <v>0</v>
      </c>
      <c r="Z47" s="60"/>
      <c r="AA47" s="21"/>
      <c r="AB47" s="59">
        <f t="shared" si="15"/>
        <v>0</v>
      </c>
      <c r="AC47" s="99">
        <f t="shared" si="6"/>
        <v>0</v>
      </c>
      <c r="AD47" s="17"/>
      <c r="AE47" s="18"/>
    </row>
    <row r="48" spans="2:31" ht="15" customHeight="1" x14ac:dyDescent="0.35">
      <c r="B48" s="5" t="s">
        <v>50</v>
      </c>
      <c r="C48" s="13">
        <v>490</v>
      </c>
      <c r="D48" s="81">
        <v>99404</v>
      </c>
      <c r="E48" s="4">
        <v>0.58620000000000005</v>
      </c>
      <c r="F48" s="112">
        <f>'Units by %'!E39</f>
        <v>0</v>
      </c>
      <c r="G48" s="112">
        <f t="shared" si="9"/>
        <v>0</v>
      </c>
      <c r="H48" s="24" t="s">
        <v>114</v>
      </c>
      <c r="I48" s="24" t="s">
        <v>114</v>
      </c>
      <c r="J48" s="24" t="s">
        <v>114</v>
      </c>
      <c r="K48" s="21"/>
      <c r="L48" s="21"/>
      <c r="M48" s="24" t="s">
        <v>114</v>
      </c>
      <c r="N48" s="27"/>
      <c r="O48" s="69">
        <f t="shared" si="13"/>
        <v>0</v>
      </c>
      <c r="P48" s="85"/>
      <c r="Q48" s="61" t="s">
        <v>114</v>
      </c>
      <c r="R48" s="61" t="s">
        <v>114</v>
      </c>
      <c r="S48" s="61" t="s">
        <v>114</v>
      </c>
      <c r="T48" s="60">
        <f t="shared" si="7"/>
        <v>0</v>
      </c>
      <c r="U48" s="87">
        <f t="shared" si="19"/>
        <v>0</v>
      </c>
      <c r="V48" s="61" t="s">
        <v>114</v>
      </c>
      <c r="W48" s="86">
        <f t="shared" si="4"/>
        <v>0</v>
      </c>
      <c r="X48" s="60"/>
      <c r="Y48" s="86">
        <f t="shared" si="8"/>
        <v>0</v>
      </c>
      <c r="Z48" s="60"/>
      <c r="AA48" s="21"/>
      <c r="AB48" s="59">
        <f t="shared" si="15"/>
        <v>0</v>
      </c>
      <c r="AC48" s="99">
        <f t="shared" si="6"/>
        <v>0</v>
      </c>
      <c r="AD48" s="17"/>
      <c r="AE48" s="18"/>
    </row>
    <row r="49" spans="2:31" ht="15" customHeight="1" x14ac:dyDescent="0.35">
      <c r="B49" s="5" t="s">
        <v>51</v>
      </c>
      <c r="C49" s="13">
        <v>490</v>
      </c>
      <c r="D49" s="81">
        <v>99411</v>
      </c>
      <c r="E49" s="4">
        <v>0.13789999999999999</v>
      </c>
      <c r="F49" s="112">
        <f>'Units by %'!E40</f>
        <v>0</v>
      </c>
      <c r="G49" s="112">
        <f t="shared" si="9"/>
        <v>0</v>
      </c>
      <c r="H49" s="24" t="s">
        <v>114</v>
      </c>
      <c r="I49" s="24" t="s">
        <v>114</v>
      </c>
      <c r="J49" s="24" t="s">
        <v>114</v>
      </c>
      <c r="K49" s="21"/>
      <c r="L49" s="21"/>
      <c r="M49" s="24" t="s">
        <v>114</v>
      </c>
      <c r="N49" s="27"/>
      <c r="O49" s="69">
        <f t="shared" si="13"/>
        <v>0</v>
      </c>
      <c r="P49" s="85"/>
      <c r="Q49" s="61" t="s">
        <v>114</v>
      </c>
      <c r="R49" s="61" t="s">
        <v>114</v>
      </c>
      <c r="S49" s="61" t="s">
        <v>114</v>
      </c>
      <c r="T49" s="60">
        <f t="shared" si="7"/>
        <v>0</v>
      </c>
      <c r="U49" s="87">
        <f t="shared" si="19"/>
        <v>0</v>
      </c>
      <c r="V49" s="61" t="s">
        <v>114</v>
      </c>
      <c r="W49" s="86">
        <f t="shared" si="4"/>
        <v>0</v>
      </c>
      <c r="X49" s="60"/>
      <c r="Y49" s="86">
        <f t="shared" si="8"/>
        <v>0</v>
      </c>
      <c r="Z49" s="60"/>
      <c r="AA49" s="21"/>
      <c r="AB49" s="59">
        <f t="shared" si="15"/>
        <v>0</v>
      </c>
      <c r="AC49" s="99">
        <f t="shared" si="6"/>
        <v>0</v>
      </c>
      <c r="AD49" s="17"/>
      <c r="AE49" s="18"/>
    </row>
    <row r="50" spans="2:31" ht="15" customHeight="1" x14ac:dyDescent="0.35">
      <c r="B50" s="5" t="s">
        <v>52</v>
      </c>
      <c r="C50" s="13">
        <v>490</v>
      </c>
      <c r="D50" s="81">
        <v>99412</v>
      </c>
      <c r="E50" s="4">
        <v>0.2414</v>
      </c>
      <c r="F50" s="112">
        <f>'Units by %'!E41</f>
        <v>0</v>
      </c>
      <c r="G50" s="112">
        <f t="shared" si="9"/>
        <v>0</v>
      </c>
      <c r="H50" s="24" t="s">
        <v>114</v>
      </c>
      <c r="I50" s="24" t="s">
        <v>114</v>
      </c>
      <c r="J50" s="24" t="s">
        <v>114</v>
      </c>
      <c r="K50" s="21"/>
      <c r="L50" s="21"/>
      <c r="M50" s="24" t="s">
        <v>114</v>
      </c>
      <c r="N50" s="27"/>
      <c r="O50" s="69">
        <f t="shared" si="13"/>
        <v>0</v>
      </c>
      <c r="P50" s="85"/>
      <c r="Q50" s="61" t="s">
        <v>114</v>
      </c>
      <c r="R50" s="61" t="s">
        <v>114</v>
      </c>
      <c r="S50" s="61" t="s">
        <v>114</v>
      </c>
      <c r="T50" s="60">
        <f t="shared" si="7"/>
        <v>0</v>
      </c>
      <c r="U50" s="87">
        <f t="shared" si="19"/>
        <v>0</v>
      </c>
      <c r="V50" s="61" t="s">
        <v>114</v>
      </c>
      <c r="W50" s="86">
        <f t="shared" si="4"/>
        <v>0</v>
      </c>
      <c r="X50" s="60"/>
      <c r="Y50" s="86">
        <f t="shared" si="8"/>
        <v>0</v>
      </c>
      <c r="Z50" s="60"/>
      <c r="AA50" s="21"/>
      <c r="AB50" s="59">
        <f t="shared" si="15"/>
        <v>0</v>
      </c>
      <c r="AC50" s="99">
        <f t="shared" si="6"/>
        <v>0</v>
      </c>
      <c r="AD50" s="17"/>
      <c r="AE50" s="18"/>
    </row>
    <row r="51" spans="2:31" ht="15" customHeight="1" x14ac:dyDescent="0.35">
      <c r="B51" s="63" t="s">
        <v>53</v>
      </c>
      <c r="C51" s="62">
        <v>451</v>
      </c>
      <c r="D51" s="80">
        <v>99406</v>
      </c>
      <c r="E51" s="64">
        <v>0.12670000000000001</v>
      </c>
      <c r="F51" s="112">
        <f>'Units by %'!E42</f>
        <v>0</v>
      </c>
      <c r="G51" s="112">
        <f t="shared" si="9"/>
        <v>0</v>
      </c>
      <c r="H51" s="24" t="s">
        <v>114</v>
      </c>
      <c r="I51" s="24" t="s">
        <v>114</v>
      </c>
      <c r="J51" s="24" t="s">
        <v>114</v>
      </c>
      <c r="K51" s="21"/>
      <c r="L51" s="21"/>
      <c r="M51" s="24" t="s">
        <v>114</v>
      </c>
      <c r="N51" s="27"/>
      <c r="O51" s="69">
        <f t="shared" si="13"/>
        <v>0</v>
      </c>
      <c r="P51" s="85"/>
      <c r="Q51" s="61" t="s">
        <v>114</v>
      </c>
      <c r="R51" s="61" t="s">
        <v>114</v>
      </c>
      <c r="S51" s="61" t="s">
        <v>114</v>
      </c>
      <c r="T51" s="60">
        <f t="shared" si="7"/>
        <v>0</v>
      </c>
      <c r="U51" s="87">
        <f t="shared" si="19"/>
        <v>0</v>
      </c>
      <c r="V51" s="61" t="s">
        <v>114</v>
      </c>
      <c r="W51" s="86">
        <f t="shared" si="4"/>
        <v>0</v>
      </c>
      <c r="X51" s="60"/>
      <c r="Y51" s="86">
        <f t="shared" si="8"/>
        <v>0</v>
      </c>
      <c r="Z51" s="60"/>
      <c r="AA51" s="21"/>
      <c r="AB51" s="59">
        <f t="shared" si="15"/>
        <v>0</v>
      </c>
      <c r="AC51" s="99">
        <f t="shared" si="6"/>
        <v>0</v>
      </c>
      <c r="AD51" s="17"/>
      <c r="AE51" s="18"/>
    </row>
    <row r="52" spans="2:31" ht="15" customHeight="1" x14ac:dyDescent="0.35">
      <c r="B52" s="63" t="s">
        <v>54</v>
      </c>
      <c r="C52" s="62">
        <v>451</v>
      </c>
      <c r="D52" s="80">
        <v>99407</v>
      </c>
      <c r="E52" s="64">
        <v>0.12670000000000001</v>
      </c>
      <c r="F52" s="112">
        <f>'Units by %'!E43</f>
        <v>0</v>
      </c>
      <c r="G52" s="112">
        <f t="shared" si="9"/>
        <v>0</v>
      </c>
      <c r="H52" s="24" t="s">
        <v>114</v>
      </c>
      <c r="I52" s="24" t="s">
        <v>114</v>
      </c>
      <c r="J52" s="24" t="s">
        <v>114</v>
      </c>
      <c r="K52" s="21"/>
      <c r="L52" s="21"/>
      <c r="M52" s="24" t="s">
        <v>114</v>
      </c>
      <c r="N52" s="27"/>
      <c r="O52" s="69">
        <f t="shared" si="13"/>
        <v>0</v>
      </c>
      <c r="P52" s="85"/>
      <c r="Q52" s="61" t="s">
        <v>114</v>
      </c>
      <c r="R52" s="61" t="s">
        <v>114</v>
      </c>
      <c r="S52" s="61" t="s">
        <v>114</v>
      </c>
      <c r="T52" s="60">
        <f t="shared" si="7"/>
        <v>0</v>
      </c>
      <c r="U52" s="87">
        <f t="shared" si="19"/>
        <v>0</v>
      </c>
      <c r="V52" s="61" t="s">
        <v>114</v>
      </c>
      <c r="W52" s="86">
        <f t="shared" si="4"/>
        <v>0</v>
      </c>
      <c r="X52" s="60"/>
      <c r="Y52" s="86">
        <f t="shared" si="8"/>
        <v>0</v>
      </c>
      <c r="Z52" s="60"/>
      <c r="AA52" s="21"/>
      <c r="AB52" s="59">
        <f t="shared" si="15"/>
        <v>0</v>
      </c>
      <c r="AC52" s="99">
        <f t="shared" si="6"/>
        <v>0</v>
      </c>
      <c r="AD52" s="17"/>
      <c r="AE52" s="18"/>
    </row>
    <row r="53" spans="2:31" ht="27.75" customHeight="1" x14ac:dyDescent="0.35">
      <c r="B53" s="63" t="s">
        <v>55</v>
      </c>
      <c r="C53" s="62">
        <v>451</v>
      </c>
      <c r="D53" s="80" t="s">
        <v>56</v>
      </c>
      <c r="E53" s="111" t="s">
        <v>115</v>
      </c>
      <c r="F53" s="112">
        <f>'Units by %'!E44</f>
        <v>0</v>
      </c>
      <c r="G53" s="112">
        <f t="shared" si="9"/>
        <v>0</v>
      </c>
      <c r="H53" s="24" t="s">
        <v>114</v>
      </c>
      <c r="I53" s="24" t="s">
        <v>114</v>
      </c>
      <c r="J53" s="24" t="s">
        <v>114</v>
      </c>
      <c r="K53" s="24" t="s">
        <v>114</v>
      </c>
      <c r="L53" s="24" t="s">
        <v>114</v>
      </c>
      <c r="M53" s="24" t="s">
        <v>114</v>
      </c>
      <c r="N53" s="27"/>
      <c r="O53" s="69">
        <f>G53*8.5</f>
        <v>0</v>
      </c>
      <c r="P53" s="85"/>
      <c r="Q53" s="61" t="s">
        <v>114</v>
      </c>
      <c r="R53" s="61" t="s">
        <v>114</v>
      </c>
      <c r="S53" s="61" t="s">
        <v>114</v>
      </c>
      <c r="T53" s="61" t="s">
        <v>114</v>
      </c>
      <c r="U53" s="61" t="s">
        <v>114</v>
      </c>
      <c r="V53" s="61" t="s">
        <v>114</v>
      </c>
      <c r="W53" s="61" t="s">
        <v>114</v>
      </c>
      <c r="X53" s="60"/>
      <c r="Y53" s="86">
        <f>O53</f>
        <v>0</v>
      </c>
      <c r="Z53" s="60"/>
      <c r="AA53" s="21"/>
      <c r="AB53" s="59">
        <f t="shared" si="15"/>
        <v>0</v>
      </c>
      <c r="AC53" s="99">
        <f t="shared" si="6"/>
        <v>0</v>
      </c>
      <c r="AD53" s="17"/>
      <c r="AE53" s="18"/>
    </row>
    <row r="54" spans="2:31" ht="15" customHeight="1" x14ac:dyDescent="0.35">
      <c r="B54" s="63" t="s">
        <v>57</v>
      </c>
      <c r="C54" s="62">
        <v>324</v>
      </c>
      <c r="D54" s="80" t="s">
        <v>58</v>
      </c>
      <c r="E54" s="64">
        <v>0.28029999999999999</v>
      </c>
      <c r="F54" s="112">
        <f>'Units by %'!E45</f>
        <v>0</v>
      </c>
      <c r="G54" s="112">
        <f t="shared" si="9"/>
        <v>0</v>
      </c>
      <c r="H54" s="24" t="s">
        <v>114</v>
      </c>
      <c r="I54" s="24" t="s">
        <v>114</v>
      </c>
      <c r="J54" s="24" t="s">
        <v>114</v>
      </c>
      <c r="K54" s="21"/>
      <c r="L54" s="21"/>
      <c r="M54" s="24" t="s">
        <v>114</v>
      </c>
      <c r="N54" s="27"/>
      <c r="O54" s="69">
        <f>G54*E54*$G$9</f>
        <v>0</v>
      </c>
      <c r="P54" s="85"/>
      <c r="Q54" s="61" t="s">
        <v>114</v>
      </c>
      <c r="R54" s="61" t="s">
        <v>114</v>
      </c>
      <c r="S54" s="61" t="s">
        <v>114</v>
      </c>
      <c r="T54" s="60">
        <f t="shared" si="7"/>
        <v>0</v>
      </c>
      <c r="U54" s="87">
        <f t="shared" si="19"/>
        <v>0</v>
      </c>
      <c r="V54" s="61" t="s">
        <v>114</v>
      </c>
      <c r="W54" s="86">
        <f t="shared" si="4"/>
        <v>0</v>
      </c>
      <c r="X54" s="60"/>
      <c r="Y54" s="86">
        <f t="shared" si="8"/>
        <v>0</v>
      </c>
      <c r="Z54" s="60"/>
      <c r="AA54" s="21"/>
      <c r="AB54" s="59">
        <f t="shared" si="15"/>
        <v>0</v>
      </c>
      <c r="AC54" s="99">
        <f t="shared" si="6"/>
        <v>0</v>
      </c>
      <c r="AD54" s="17"/>
      <c r="AE54" s="18"/>
    </row>
    <row r="55" spans="2:31" ht="15" customHeight="1" x14ac:dyDescent="0.35">
      <c r="B55" s="63" t="s">
        <v>59</v>
      </c>
      <c r="C55" s="62">
        <v>324</v>
      </c>
      <c r="D55" s="80" t="s">
        <v>60</v>
      </c>
      <c r="E55" s="64">
        <v>0.28029999999999999</v>
      </c>
      <c r="F55" s="112">
        <f>'Units by %'!E46</f>
        <v>0</v>
      </c>
      <c r="G55" s="112">
        <f t="shared" si="9"/>
        <v>0</v>
      </c>
      <c r="H55" s="24" t="s">
        <v>114</v>
      </c>
      <c r="I55" s="24" t="s">
        <v>114</v>
      </c>
      <c r="J55" s="24" t="s">
        <v>114</v>
      </c>
      <c r="K55" s="21"/>
      <c r="L55" s="21"/>
      <c r="M55" s="24" t="s">
        <v>114</v>
      </c>
      <c r="N55" s="27"/>
      <c r="O55" s="69">
        <f>G55*E55*$G$9</f>
        <v>0</v>
      </c>
      <c r="P55" s="85"/>
      <c r="Q55" s="61" t="s">
        <v>114</v>
      </c>
      <c r="R55" s="61" t="s">
        <v>114</v>
      </c>
      <c r="S55" s="61" t="s">
        <v>114</v>
      </c>
      <c r="T55" s="60">
        <f t="shared" si="7"/>
        <v>0</v>
      </c>
      <c r="U55" s="87">
        <f t="shared" si="19"/>
        <v>0</v>
      </c>
      <c r="V55" s="61" t="s">
        <v>114</v>
      </c>
      <c r="W55" s="86">
        <f t="shared" si="4"/>
        <v>0</v>
      </c>
      <c r="X55" s="60"/>
      <c r="Y55" s="86">
        <f t="shared" si="8"/>
        <v>0</v>
      </c>
      <c r="Z55" s="60"/>
      <c r="AA55" s="21"/>
      <c r="AB55" s="59">
        <f t="shared" si="15"/>
        <v>0</v>
      </c>
      <c r="AC55" s="99">
        <f t="shared" si="6"/>
        <v>0</v>
      </c>
      <c r="AD55" s="17"/>
      <c r="AE55" s="18"/>
    </row>
    <row r="56" spans="2:31" x14ac:dyDescent="0.35">
      <c r="D56" s="11"/>
      <c r="E56" s="6"/>
      <c r="F56" s="6"/>
      <c r="W56" s="2"/>
      <c r="Y56" s="2"/>
      <c r="AC56" s="100"/>
    </row>
    <row r="57" spans="2:31" x14ac:dyDescent="0.35">
      <c r="B57" s="214" t="s">
        <v>116</v>
      </c>
      <c r="C57" s="105"/>
      <c r="D57" s="216"/>
      <c r="E57" s="217" t="s">
        <v>117</v>
      </c>
      <c r="F57" s="115">
        <f>SUM(F12:F55)</f>
        <v>0</v>
      </c>
      <c r="G57" s="30">
        <f t="shared" ref="G57:O57" si="20">SUM(G12:G55)</f>
        <v>0</v>
      </c>
      <c r="H57" s="30">
        <f t="shared" si="20"/>
        <v>0</v>
      </c>
      <c r="I57" s="30">
        <f t="shared" si="20"/>
        <v>0</v>
      </c>
      <c r="J57" s="30">
        <f t="shared" si="20"/>
        <v>0</v>
      </c>
      <c r="K57" s="30">
        <f t="shared" si="20"/>
        <v>0</v>
      </c>
      <c r="L57" s="30">
        <f t="shared" si="20"/>
        <v>0</v>
      </c>
      <c r="M57" s="30">
        <f t="shared" si="20"/>
        <v>0</v>
      </c>
      <c r="N57" s="68">
        <f t="shared" si="20"/>
        <v>0</v>
      </c>
      <c r="O57" s="94">
        <f t="shared" si="20"/>
        <v>0</v>
      </c>
      <c r="P57" s="95" t="s">
        <v>62</v>
      </c>
      <c r="Q57" s="94">
        <f t="shared" ref="Q57:W57" si="21">SUM(Q12:Q55)</f>
        <v>0</v>
      </c>
      <c r="R57" s="94">
        <f t="shared" si="21"/>
        <v>0</v>
      </c>
      <c r="S57" s="94">
        <f t="shared" si="21"/>
        <v>0</v>
      </c>
      <c r="T57" s="94">
        <f t="shared" si="21"/>
        <v>0</v>
      </c>
      <c r="U57" s="94">
        <f t="shared" si="21"/>
        <v>0</v>
      </c>
      <c r="V57" s="94">
        <f t="shared" si="21"/>
        <v>0</v>
      </c>
      <c r="W57" s="94">
        <f t="shared" si="21"/>
        <v>0</v>
      </c>
      <c r="X57" s="95" t="s">
        <v>62</v>
      </c>
      <c r="Y57" s="94">
        <f>SUM(Y12:Y55)</f>
        <v>0</v>
      </c>
      <c r="Z57" s="95" t="s">
        <v>62</v>
      </c>
      <c r="AA57" s="32" t="s">
        <v>118</v>
      </c>
      <c r="AB57" s="31">
        <f>SUM(AB12:AB55)</f>
        <v>0</v>
      </c>
      <c r="AC57" s="101">
        <f>SUM(AC12:AC55)</f>
        <v>0</v>
      </c>
      <c r="AD57" s="17"/>
    </row>
    <row r="58" spans="2:31" x14ac:dyDescent="0.35">
      <c r="D58" s="34"/>
      <c r="E58" s="7"/>
      <c r="F58" s="7"/>
      <c r="O58" s="96"/>
      <c r="Q58" s="96"/>
      <c r="R58" s="96"/>
      <c r="S58" s="96"/>
      <c r="T58" s="96"/>
      <c r="U58" s="96"/>
      <c r="V58" s="96"/>
      <c r="W58" s="96"/>
      <c r="Y58" s="96"/>
      <c r="AA58" s="17"/>
      <c r="AB58" s="17"/>
      <c r="AC58" s="17" t="s">
        <v>62</v>
      </c>
    </row>
    <row r="59" spans="2:31" ht="110.15" customHeight="1" x14ac:dyDescent="0.35">
      <c r="B59" s="211"/>
      <c r="C59" s="71"/>
      <c r="D59" s="34"/>
      <c r="E59" s="7"/>
      <c r="F59" s="7"/>
      <c r="G59" s="18"/>
    </row>
    <row r="60" spans="2:31" x14ac:dyDescent="0.35">
      <c r="B60" s="35"/>
      <c r="C60" s="35"/>
      <c r="D60" s="34"/>
      <c r="E60" s="7"/>
      <c r="F60" s="7"/>
      <c r="G60" s="18"/>
    </row>
    <row r="61" spans="2:31" x14ac:dyDescent="0.35">
      <c r="B61" s="36"/>
      <c r="C61" s="36"/>
      <c r="D61" s="34"/>
      <c r="E61" s="7"/>
      <c r="F61" s="7"/>
      <c r="H61" s="37"/>
      <c r="I61" s="37"/>
      <c r="J61" s="37"/>
      <c r="K61" s="37"/>
      <c r="L61" s="37"/>
      <c r="M61" s="37"/>
      <c r="N61" s="37"/>
      <c r="O61" s="2"/>
      <c r="P61" s="2"/>
      <c r="Q61" s="2"/>
      <c r="R61" s="2"/>
      <c r="S61" s="2"/>
      <c r="T61" s="2"/>
      <c r="U61" s="2"/>
      <c r="V61" s="2"/>
      <c r="X61" s="2"/>
      <c r="Z61" s="2"/>
      <c r="AA61" s="37"/>
      <c r="AB61" s="37"/>
      <c r="AC61" s="37"/>
      <c r="AD61" s="37"/>
      <c r="AE61" s="37"/>
    </row>
    <row r="62" spans="2:31" x14ac:dyDescent="0.35">
      <c r="B62" s="35"/>
      <c r="C62" s="35"/>
      <c r="D62" s="34"/>
    </row>
    <row r="63" spans="2:31" x14ac:dyDescent="0.35">
      <c r="B63" s="35"/>
      <c r="C63" s="35"/>
      <c r="D63" s="34"/>
    </row>
    <row r="64" spans="2:31" x14ac:dyDescent="0.35">
      <c r="B64" s="35"/>
      <c r="C64" s="35"/>
      <c r="D64" s="34"/>
    </row>
    <row r="65" spans="2:4" x14ac:dyDescent="0.35">
      <c r="B65" s="35"/>
      <c r="C65" s="35"/>
      <c r="D65" s="34"/>
    </row>
    <row r="66" spans="2:4" x14ac:dyDescent="0.35">
      <c r="B66" s="35"/>
      <c r="C66" s="35"/>
      <c r="D66" s="34"/>
    </row>
    <row r="67" spans="2:4" x14ac:dyDescent="0.35">
      <c r="B67" s="35"/>
      <c r="C67" s="35"/>
      <c r="D67" s="34"/>
    </row>
    <row r="68" spans="2:4" x14ac:dyDescent="0.35">
      <c r="B68" s="35"/>
      <c r="C68" s="35"/>
      <c r="D68" s="34"/>
    </row>
    <row r="69" spans="2:4" x14ac:dyDescent="0.35">
      <c r="B69" s="35"/>
      <c r="C69" s="35"/>
      <c r="D69" s="34"/>
    </row>
    <row r="70" spans="2:4" x14ac:dyDescent="0.35">
      <c r="B70" s="35"/>
      <c r="C70" s="35"/>
      <c r="D70" s="34"/>
    </row>
    <row r="71" spans="2:4" x14ac:dyDescent="0.35">
      <c r="B71" s="35"/>
      <c r="C71" s="35"/>
      <c r="D71" s="34"/>
    </row>
    <row r="72" spans="2:4" x14ac:dyDescent="0.35">
      <c r="B72" s="35"/>
      <c r="C72" s="35"/>
      <c r="D72" s="34"/>
    </row>
    <row r="73" spans="2:4" x14ac:dyDescent="0.35">
      <c r="B73" s="35"/>
      <c r="C73" s="35"/>
      <c r="D73" s="34"/>
    </row>
    <row r="74" spans="2:4" x14ac:dyDescent="0.35">
      <c r="B74" s="35"/>
      <c r="C74" s="35"/>
      <c r="D74" s="34"/>
    </row>
    <row r="75" spans="2:4" x14ac:dyDescent="0.35">
      <c r="B75" s="35"/>
      <c r="C75" s="35"/>
      <c r="D75" s="34"/>
    </row>
    <row r="76" spans="2:4" x14ac:dyDescent="0.35">
      <c r="B76" s="35"/>
      <c r="C76" s="35"/>
      <c r="D76" s="34"/>
    </row>
    <row r="77" spans="2:4" x14ac:dyDescent="0.35">
      <c r="B77" s="35"/>
      <c r="C77" s="35"/>
      <c r="D77" s="34"/>
    </row>
    <row r="78" spans="2:4" x14ac:dyDescent="0.35">
      <c r="B78" s="35"/>
      <c r="C78" s="35"/>
      <c r="D78" s="34"/>
    </row>
    <row r="79" spans="2:4" x14ac:dyDescent="0.35">
      <c r="B79" s="35"/>
      <c r="C79" s="35"/>
      <c r="D79" s="34"/>
    </row>
    <row r="80" spans="2:4" x14ac:dyDescent="0.35">
      <c r="B80" s="35"/>
      <c r="C80" s="35"/>
      <c r="D80" s="34"/>
    </row>
    <row r="81" spans="2:4" x14ac:dyDescent="0.35">
      <c r="B81" s="35"/>
      <c r="C81" s="35"/>
      <c r="D81" s="34"/>
    </row>
    <row r="82" spans="2:4" x14ac:dyDescent="0.35">
      <c r="B82" s="35"/>
      <c r="C82" s="35"/>
      <c r="D82" s="11"/>
    </row>
    <row r="83" spans="2:4" x14ac:dyDescent="0.35">
      <c r="B83" s="35"/>
      <c r="C83" s="35"/>
      <c r="D83" s="11"/>
    </row>
    <row r="84" spans="2:4" x14ac:dyDescent="0.35">
      <c r="B84" s="35"/>
      <c r="C84" s="35"/>
      <c r="D84" s="11"/>
    </row>
    <row r="85" spans="2:4" x14ac:dyDescent="0.35">
      <c r="B85" s="35"/>
      <c r="C85" s="35"/>
      <c r="D85" s="11"/>
    </row>
    <row r="86" spans="2:4" x14ac:dyDescent="0.35">
      <c r="B86" s="35"/>
      <c r="C86" s="35"/>
      <c r="D86" s="11"/>
    </row>
    <row r="87" spans="2:4" x14ac:dyDescent="0.35">
      <c r="B87" s="35"/>
      <c r="C87" s="35"/>
      <c r="D87" s="11"/>
    </row>
    <row r="88" spans="2:4" x14ac:dyDescent="0.35">
      <c r="B88" s="35"/>
      <c r="C88" s="35"/>
      <c r="D88" s="11"/>
    </row>
    <row r="89" spans="2:4" x14ac:dyDescent="0.35">
      <c r="B89" s="35"/>
      <c r="C89" s="35"/>
      <c r="D89" s="11"/>
    </row>
    <row r="90" spans="2:4" x14ac:dyDescent="0.35">
      <c r="B90" s="35"/>
      <c r="C90" s="35"/>
      <c r="D90" s="11"/>
    </row>
    <row r="91" spans="2:4" x14ac:dyDescent="0.35">
      <c r="B91" s="35"/>
      <c r="C91" s="35"/>
      <c r="D91" s="11"/>
    </row>
    <row r="92" spans="2:4" x14ac:dyDescent="0.35">
      <c r="B92" s="35"/>
      <c r="C92" s="35"/>
      <c r="D92" s="11"/>
    </row>
    <row r="93" spans="2:4" x14ac:dyDescent="0.35">
      <c r="B93" s="35"/>
      <c r="C93" s="35"/>
      <c r="D93" s="11"/>
    </row>
    <row r="94" spans="2:4" x14ac:dyDescent="0.35">
      <c r="B94" s="35"/>
      <c r="C94" s="35"/>
      <c r="D94" s="11"/>
    </row>
    <row r="95" spans="2:4" x14ac:dyDescent="0.35">
      <c r="B95" s="35"/>
      <c r="C95" s="35"/>
      <c r="D95" s="11"/>
    </row>
    <row r="96" spans="2:4" x14ac:dyDescent="0.35">
      <c r="B96" s="35"/>
      <c r="C96" s="35"/>
      <c r="D96" s="11"/>
    </row>
    <row r="97" spans="2:12" x14ac:dyDescent="0.35">
      <c r="B97" s="35"/>
      <c r="C97" s="35"/>
      <c r="D97" s="11"/>
    </row>
    <row r="98" spans="2:12" x14ac:dyDescent="0.35">
      <c r="B98" s="35"/>
      <c r="C98" s="35"/>
      <c r="D98" s="11"/>
    </row>
    <row r="99" spans="2:12" x14ac:dyDescent="0.35">
      <c r="B99" s="35"/>
      <c r="C99" s="35"/>
      <c r="D99" s="11"/>
    </row>
    <row r="100" spans="2:12" x14ac:dyDescent="0.35">
      <c r="D100" s="11"/>
    </row>
    <row r="101" spans="2:12" x14ac:dyDescent="0.35">
      <c r="B101" s="39"/>
      <c r="C101" s="102"/>
      <c r="D101" s="38"/>
      <c r="H101" s="37"/>
      <c r="I101" s="37"/>
      <c r="J101" s="37"/>
      <c r="K101" s="37"/>
      <c r="L101" s="37"/>
    </row>
    <row r="102" spans="2:12" x14ac:dyDescent="0.35">
      <c r="B102" s="40"/>
    </row>
    <row r="103" spans="2:12" x14ac:dyDescent="0.35">
      <c r="B103" s="40"/>
    </row>
    <row r="104" spans="2:12" x14ac:dyDescent="0.35">
      <c r="B104" s="40"/>
      <c r="D104" s="11"/>
    </row>
    <row r="105" spans="2:12" x14ac:dyDescent="0.35">
      <c r="B105" s="40"/>
      <c r="D105" s="11"/>
    </row>
    <row r="106" spans="2:12" x14ac:dyDescent="0.35">
      <c r="B106" s="41"/>
      <c r="C106" s="103"/>
      <c r="D106" s="11"/>
    </row>
    <row r="107" spans="2:12" x14ac:dyDescent="0.35">
      <c r="B107" s="42"/>
      <c r="C107" s="104"/>
      <c r="D107" s="43"/>
    </row>
  </sheetData>
  <mergeCells count="9">
    <mergeCell ref="F1:H1"/>
    <mergeCell ref="L1:M1"/>
    <mergeCell ref="I1:K1"/>
    <mergeCell ref="D57:E57"/>
    <mergeCell ref="B9:B10"/>
    <mergeCell ref="AA8:AB8"/>
    <mergeCell ref="Q9:V9"/>
    <mergeCell ref="H8:M8"/>
    <mergeCell ref="O8:W8"/>
  </mergeCells>
  <conditionalFormatting sqref="C8">
    <cfRule type="cellIs" dxfId="20" priority="6" operator="equal">
      <formula>1</formula>
    </cfRule>
    <cfRule type="cellIs" dxfId="19" priority="5" operator="notEqual">
      <formula>1</formula>
    </cfRule>
  </conditionalFormatting>
  <conditionalFormatting sqref="D12:D13 D15">
    <cfRule type="expression" dxfId="18" priority="15" stopIfTrue="1">
      <formula>#REF!="Full"</formula>
    </cfRule>
    <cfRule type="expression" dxfId="17" priority="16" stopIfTrue="1">
      <formula>#REF!="Blend"</formula>
    </cfRule>
  </conditionalFormatting>
  <conditionalFormatting sqref="D12:D17">
    <cfRule type="expression" dxfId="16" priority="7" stopIfTrue="1">
      <formula>#REF!="Full"</formula>
    </cfRule>
    <cfRule type="expression" dxfId="15" priority="8" stopIfTrue="1">
      <formula>#REF!="Blend"</formula>
    </cfRule>
  </conditionalFormatting>
  <conditionalFormatting sqref="D12:D43">
    <cfRule type="expression" dxfId="14" priority="59" stopIfTrue="1">
      <formula>$C12="Full"</formula>
    </cfRule>
    <cfRule type="expression" dxfId="13" priority="60" stopIfTrue="1">
      <formula>$C12="Blend"</formula>
    </cfRule>
  </conditionalFormatting>
  <conditionalFormatting sqref="D12:D44">
    <cfRule type="expression" dxfId="12" priority="29" stopIfTrue="1">
      <formula>#REF!="Full"</formula>
    </cfRule>
    <cfRule type="expression" dxfId="11" priority="30" stopIfTrue="1">
      <formula>#REF!="Blend"</formula>
    </cfRule>
  </conditionalFormatting>
  <conditionalFormatting sqref="D18">
    <cfRule type="expression" dxfId="10" priority="69" stopIfTrue="1">
      <formula>$C16="Full"</formula>
    </cfRule>
    <cfRule type="expression" dxfId="9" priority="70" stopIfTrue="1">
      <formula>$C16="Blend"</formula>
    </cfRule>
  </conditionalFormatting>
  <conditionalFormatting sqref="D24:D26">
    <cfRule type="expression" dxfId="8" priority="20" stopIfTrue="1">
      <formula>#REF!="Blend"</formula>
    </cfRule>
    <cfRule type="expression" dxfId="7" priority="19" stopIfTrue="1">
      <formula>#REF!="Full"</formula>
    </cfRule>
  </conditionalFormatting>
  <conditionalFormatting sqref="D56">
    <cfRule type="expression" dxfId="6" priority="56" stopIfTrue="1">
      <formula>#REF!="Blend"</formula>
    </cfRule>
    <cfRule type="expression" dxfId="5" priority="55" stopIfTrue="1">
      <formula>#REF!="Full"</formula>
    </cfRule>
  </conditionalFormatting>
  <conditionalFormatting sqref="D58:D81">
    <cfRule type="expression" dxfId="4" priority="54" stopIfTrue="1">
      <formula>#REF!="Blend"</formula>
    </cfRule>
    <cfRule type="expression" dxfId="3" priority="53" stopIfTrue="1">
      <formula>#REF!="Full"</formula>
    </cfRule>
  </conditionalFormatting>
  <conditionalFormatting sqref="Q12:V23 U24:V28 Q24:S43 T24:T52 V29:V43 U29:U52">
    <cfRule type="cellIs" dxfId="2" priority="4" operator="equal">
      <formula>"Mod Error"</formula>
    </cfRule>
  </conditionalFormatting>
  <conditionalFormatting sqref="T54:U55">
    <cfRule type="cellIs" dxfId="1" priority="1" operator="equal">
      <formula>"Mod Error"</formula>
    </cfRule>
  </conditionalFormatting>
  <conditionalFormatting sqref="W23">
    <cfRule type="cellIs" dxfId="0" priority="2" operator="equal">
      <formula>"Mod Error"</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2C22E-8E5D-4771-B4CD-320B23562E0A}">
  <dimension ref="A1:N44"/>
  <sheetViews>
    <sheetView zoomScale="85" zoomScaleNormal="85" workbookViewId="0">
      <selection activeCell="J32" sqref="J32"/>
    </sheetView>
  </sheetViews>
  <sheetFormatPr defaultColWidth="8.81640625" defaultRowHeight="14.5" x14ac:dyDescent="0.35"/>
  <cols>
    <col min="1" max="1" width="52.453125" customWidth="1"/>
    <col min="2" max="2" width="27.453125" customWidth="1"/>
    <col min="3" max="3" width="10.453125" customWidth="1"/>
    <col min="5" max="5" width="19.453125" customWidth="1"/>
    <col min="6" max="6" width="12.453125" customWidth="1"/>
    <col min="7" max="7" width="12.54296875" customWidth="1"/>
    <col min="8" max="8" width="11.81640625" customWidth="1"/>
    <col min="9" max="9" width="18.453125" customWidth="1"/>
    <col min="11" max="11" width="11.54296875" customWidth="1"/>
    <col min="12" max="12" width="12.81640625" bestFit="1" customWidth="1"/>
    <col min="14" max="14" width="17.81640625" customWidth="1"/>
    <col min="15" max="15" width="11" customWidth="1"/>
    <col min="16" max="16" width="11" bestFit="1" customWidth="1"/>
  </cols>
  <sheetData>
    <row r="1" spans="1:11" x14ac:dyDescent="0.35">
      <c r="A1" s="201" t="s">
        <v>119</v>
      </c>
      <c r="B1" s="117" t="s">
        <v>120</v>
      </c>
      <c r="E1" s="118" t="s">
        <v>121</v>
      </c>
    </row>
    <row r="2" spans="1:11" ht="15" thickBot="1" x14ac:dyDescent="0.4"/>
    <row r="3" spans="1:11" ht="15" thickBot="1" x14ac:dyDescent="0.4">
      <c r="A3" s="234" t="s">
        <v>122</v>
      </c>
      <c r="B3" s="235"/>
      <c r="C3" s="235"/>
      <c r="D3" s="235"/>
      <c r="E3" s="235"/>
      <c r="F3" s="235"/>
      <c r="G3" s="235"/>
      <c r="H3" s="235"/>
      <c r="I3" s="235"/>
      <c r="J3" s="235"/>
      <c r="K3" s="236"/>
    </row>
    <row r="4" spans="1:11" ht="40" thickBot="1" x14ac:dyDescent="0.4">
      <c r="A4" s="162" t="s">
        <v>123</v>
      </c>
      <c r="B4" s="119" t="s">
        <v>124</v>
      </c>
      <c r="C4" s="164" t="s">
        <v>125</v>
      </c>
      <c r="D4" s="163" t="s">
        <v>126</v>
      </c>
      <c r="E4" s="163" t="s">
        <v>127</v>
      </c>
      <c r="F4" s="163" t="s">
        <v>128</v>
      </c>
      <c r="G4" s="163" t="s">
        <v>129</v>
      </c>
      <c r="H4" s="163" t="s">
        <v>130</v>
      </c>
      <c r="I4" s="163" t="s">
        <v>131</v>
      </c>
      <c r="J4" s="163" t="s">
        <v>132</v>
      </c>
      <c r="K4" s="163" t="s">
        <v>133</v>
      </c>
    </row>
    <row r="5" spans="1:11" ht="15" thickBot="1" x14ac:dyDescent="0.4">
      <c r="A5" s="119"/>
      <c r="C5" s="120"/>
      <c r="D5" s="121">
        <v>0</v>
      </c>
      <c r="E5" s="122"/>
      <c r="F5" s="200">
        <v>0</v>
      </c>
      <c r="G5" s="123">
        <f t="shared" ref="F5:K5" si="0">SUM(G6:G14)</f>
        <v>0</v>
      </c>
      <c r="H5" s="121">
        <f t="shared" si="0"/>
        <v>0</v>
      </c>
      <c r="I5" s="123">
        <f t="shared" si="0"/>
        <v>0</v>
      </c>
      <c r="J5" s="121">
        <f t="shared" si="0"/>
        <v>0</v>
      </c>
      <c r="K5" s="123">
        <f t="shared" si="0"/>
        <v>0</v>
      </c>
    </row>
    <row r="6" spans="1:11" x14ac:dyDescent="0.35">
      <c r="A6" s="124" t="s">
        <v>134</v>
      </c>
      <c r="B6" s="125"/>
      <c r="C6" s="126">
        <v>0</v>
      </c>
      <c r="D6" s="127">
        <v>0</v>
      </c>
      <c r="E6" s="128">
        <v>0</v>
      </c>
      <c r="F6" s="129">
        <v>0</v>
      </c>
      <c r="G6" s="159">
        <f t="shared" ref="G6:G14" si="1">ROUND((((52*5)*F6)*D6)*G$19,0)</f>
        <v>0</v>
      </c>
      <c r="H6" s="130">
        <f t="shared" ref="H6:H11" si="2">IF(D6&gt;0,D6*E6,0)</f>
        <v>0</v>
      </c>
      <c r="I6" s="131">
        <f t="shared" ref="I6:I11" si="3">IF(E6&gt;0,(H6*C6),0)</f>
        <v>0</v>
      </c>
      <c r="J6" s="130">
        <f t="shared" ref="J6:J11" si="4">ROUND(D6-H6,4)</f>
        <v>0</v>
      </c>
      <c r="K6" s="131">
        <f t="shared" ref="K6:K11" si="5">IF(E6&gt;0,((D6*C6)-I6),C6*D6)</f>
        <v>0</v>
      </c>
    </row>
    <row r="7" spans="1:11" x14ac:dyDescent="0.35">
      <c r="A7" s="124" t="s">
        <v>135</v>
      </c>
      <c r="B7" s="132"/>
      <c r="C7" s="133">
        <v>0</v>
      </c>
      <c r="D7" s="127">
        <v>0</v>
      </c>
      <c r="E7" s="128">
        <v>0</v>
      </c>
      <c r="F7" s="129">
        <v>0</v>
      </c>
      <c r="G7" s="159">
        <f t="shared" si="1"/>
        <v>0</v>
      </c>
      <c r="H7" s="130">
        <f t="shared" si="2"/>
        <v>0</v>
      </c>
      <c r="I7" s="131">
        <f t="shared" si="3"/>
        <v>0</v>
      </c>
      <c r="J7" s="130">
        <f t="shared" si="4"/>
        <v>0</v>
      </c>
      <c r="K7" s="131">
        <f t="shared" si="5"/>
        <v>0</v>
      </c>
    </row>
    <row r="8" spans="1:11" x14ac:dyDescent="0.35">
      <c r="A8" s="124" t="s">
        <v>136</v>
      </c>
      <c r="B8" s="132"/>
      <c r="C8" s="133">
        <v>0</v>
      </c>
      <c r="D8" s="127">
        <v>0</v>
      </c>
      <c r="E8" s="128">
        <v>0</v>
      </c>
      <c r="F8" s="129">
        <v>0</v>
      </c>
      <c r="G8" s="159">
        <f t="shared" si="1"/>
        <v>0</v>
      </c>
      <c r="H8" s="130">
        <f t="shared" si="2"/>
        <v>0</v>
      </c>
      <c r="I8" s="131">
        <f t="shared" si="3"/>
        <v>0</v>
      </c>
      <c r="J8" s="130">
        <f t="shared" si="4"/>
        <v>0</v>
      </c>
      <c r="K8" s="131">
        <f t="shared" si="5"/>
        <v>0</v>
      </c>
    </row>
    <row r="9" spans="1:11" x14ac:dyDescent="0.35">
      <c r="A9" s="124" t="s">
        <v>137</v>
      </c>
      <c r="B9" s="132"/>
      <c r="C9" s="133">
        <v>0</v>
      </c>
      <c r="D9" s="127">
        <v>0</v>
      </c>
      <c r="E9" s="128">
        <v>0</v>
      </c>
      <c r="F9" s="129">
        <v>0</v>
      </c>
      <c r="G9" s="159">
        <f t="shared" si="1"/>
        <v>0</v>
      </c>
      <c r="H9" s="130">
        <f t="shared" si="2"/>
        <v>0</v>
      </c>
      <c r="I9" s="131">
        <f t="shared" si="3"/>
        <v>0</v>
      </c>
      <c r="J9" s="130">
        <f t="shared" si="4"/>
        <v>0</v>
      </c>
      <c r="K9" s="131">
        <f t="shared" si="5"/>
        <v>0</v>
      </c>
    </row>
    <row r="10" spans="1:11" x14ac:dyDescent="0.35">
      <c r="A10" s="124" t="s">
        <v>138</v>
      </c>
      <c r="B10" s="132"/>
      <c r="C10" s="133">
        <v>0</v>
      </c>
      <c r="D10" s="127">
        <v>0</v>
      </c>
      <c r="E10" s="128">
        <v>0</v>
      </c>
      <c r="F10" s="129">
        <v>0</v>
      </c>
      <c r="G10" s="159">
        <f t="shared" si="1"/>
        <v>0</v>
      </c>
      <c r="H10" s="130">
        <f t="shared" si="2"/>
        <v>0</v>
      </c>
      <c r="I10" s="131">
        <f t="shared" si="3"/>
        <v>0</v>
      </c>
      <c r="J10" s="130">
        <f t="shared" si="4"/>
        <v>0</v>
      </c>
      <c r="K10" s="131">
        <f t="shared" si="5"/>
        <v>0</v>
      </c>
    </row>
    <row r="11" spans="1:11" x14ac:dyDescent="0.35">
      <c r="A11" s="124" t="s">
        <v>139</v>
      </c>
      <c r="B11" s="132"/>
      <c r="C11" s="133">
        <v>0</v>
      </c>
      <c r="D11" s="127">
        <v>0</v>
      </c>
      <c r="E11" s="128">
        <v>0</v>
      </c>
      <c r="F11" s="129">
        <v>0</v>
      </c>
      <c r="G11" s="159">
        <f t="shared" si="1"/>
        <v>0</v>
      </c>
      <c r="H11" s="130">
        <f t="shared" si="2"/>
        <v>0</v>
      </c>
      <c r="I11" s="131">
        <f t="shared" si="3"/>
        <v>0</v>
      </c>
      <c r="J11" s="130">
        <f t="shared" si="4"/>
        <v>0</v>
      </c>
      <c r="K11" s="131">
        <f t="shared" si="5"/>
        <v>0</v>
      </c>
    </row>
    <row r="12" spans="1:11" x14ac:dyDescent="0.35">
      <c r="A12" s="124"/>
      <c r="B12" s="132"/>
      <c r="C12" s="133"/>
      <c r="D12" s="127"/>
      <c r="E12" s="128"/>
      <c r="F12" s="129"/>
      <c r="G12" s="159">
        <f t="shared" si="1"/>
        <v>0</v>
      </c>
      <c r="H12" s="130">
        <f t="shared" ref="H12:H14" si="6">IF(D12&gt;0,D12*E12,0)</f>
        <v>0</v>
      </c>
      <c r="I12" s="131">
        <f t="shared" ref="I12:I14" si="7">IF(E12&gt;0,(H12*C12),0)</f>
        <v>0</v>
      </c>
      <c r="J12" s="130">
        <f t="shared" ref="J12:J14" si="8">ROUND(D12-H12,4)</f>
        <v>0</v>
      </c>
      <c r="K12" s="131">
        <f t="shared" ref="K12:K14" si="9">IF(E12&gt;0,((D12*C12)-I12),C12*D12)</f>
        <v>0</v>
      </c>
    </row>
    <row r="13" spans="1:11" x14ac:dyDescent="0.35">
      <c r="A13" s="124"/>
      <c r="B13" s="132"/>
      <c r="C13" s="133"/>
      <c r="D13" s="127"/>
      <c r="E13" s="128"/>
      <c r="F13" s="129"/>
      <c r="G13" s="159">
        <f t="shared" si="1"/>
        <v>0</v>
      </c>
      <c r="H13" s="130">
        <f t="shared" ref="H13" si="10">IF(D13&gt;0,D13*E13,0)</f>
        <v>0</v>
      </c>
      <c r="I13" s="131">
        <f t="shared" ref="I13" si="11">IF(E13&gt;0,(H13*C13),0)</f>
        <v>0</v>
      </c>
      <c r="J13" s="130">
        <f t="shared" ref="J13" si="12">ROUND(D13-H13,4)</f>
        <v>0</v>
      </c>
      <c r="K13" s="131">
        <f t="shared" ref="K13" si="13">IF(E13&gt;0,((D13*C13)-I13),C13*D13)</f>
        <v>0</v>
      </c>
    </row>
    <row r="14" spans="1:11" x14ac:dyDescent="0.35">
      <c r="A14" s="124"/>
      <c r="B14" s="132"/>
      <c r="C14" s="133"/>
      <c r="D14" s="127"/>
      <c r="E14" s="128"/>
      <c r="F14" s="129"/>
      <c r="G14" s="159">
        <f t="shared" si="1"/>
        <v>0</v>
      </c>
      <c r="H14" s="130">
        <f t="shared" si="6"/>
        <v>0</v>
      </c>
      <c r="I14" s="131">
        <f t="shared" si="7"/>
        <v>0</v>
      </c>
      <c r="J14" s="130">
        <f t="shared" si="8"/>
        <v>0</v>
      </c>
      <c r="K14" s="131">
        <f t="shared" si="9"/>
        <v>0</v>
      </c>
    </row>
    <row r="15" spans="1:11" x14ac:dyDescent="0.35">
      <c r="A15" s="160" t="s">
        <v>140</v>
      </c>
      <c r="B15" s="160"/>
      <c r="C15" s="160"/>
      <c r="D15" s="160"/>
      <c r="E15" s="160"/>
      <c r="F15" s="161"/>
      <c r="G15" s="160"/>
      <c r="H15" s="160"/>
      <c r="I15" s="160"/>
      <c r="J15" s="160"/>
      <c r="K15" s="160"/>
    </row>
    <row r="18" spans="2:14" x14ac:dyDescent="0.35">
      <c r="B18" s="239" t="s">
        <v>141</v>
      </c>
      <c r="C18" s="239"/>
      <c r="E18" s="237" t="s">
        <v>142</v>
      </c>
      <c r="F18" s="238"/>
      <c r="G18" s="178">
        <v>0</v>
      </c>
      <c r="I18" s="237" t="s">
        <v>143</v>
      </c>
      <c r="J18" s="240"/>
      <c r="K18" s="240"/>
      <c r="L18" s="238"/>
    </row>
    <row r="19" spans="2:14" ht="42" customHeight="1" x14ac:dyDescent="0.35">
      <c r="B19" s="215"/>
      <c r="C19" s="134" t="s">
        <v>144</v>
      </c>
      <c r="E19" s="237" t="s">
        <v>145</v>
      </c>
      <c r="F19" s="238"/>
      <c r="G19" s="178">
        <v>0</v>
      </c>
      <c r="I19" s="156" t="s">
        <v>108</v>
      </c>
      <c r="J19" s="154" t="s">
        <v>146</v>
      </c>
      <c r="K19" s="155" t="s">
        <v>147</v>
      </c>
      <c r="L19" s="157" t="s">
        <v>108</v>
      </c>
    </row>
    <row r="20" spans="2:14" x14ac:dyDescent="0.35">
      <c r="B20" s="135" t="s">
        <v>148</v>
      </c>
      <c r="C20" s="177">
        <v>0</v>
      </c>
      <c r="E20" s="237" t="s">
        <v>149</v>
      </c>
      <c r="F20" s="238"/>
      <c r="G20" s="178">
        <v>0</v>
      </c>
      <c r="I20" s="152" t="s">
        <v>150</v>
      </c>
      <c r="J20" s="153"/>
      <c r="K20" s="158">
        <f>'Revenue Calculator'!G57</f>
        <v>0</v>
      </c>
      <c r="L20" s="158">
        <f>'Revenue Calculator'!AC57</f>
        <v>0</v>
      </c>
      <c r="N20" s="137"/>
    </row>
    <row r="21" spans="2:14" x14ac:dyDescent="0.35">
      <c r="B21" s="135" t="s">
        <v>151</v>
      </c>
      <c r="C21" s="177">
        <v>0</v>
      </c>
      <c r="I21" s="136" t="s">
        <v>152</v>
      </c>
      <c r="J21" s="179">
        <v>0</v>
      </c>
      <c r="K21" s="158">
        <f>ROUND('Revenue Calculator'!F$57*'Revenue Calculator'!C4,2)</f>
        <v>0</v>
      </c>
      <c r="L21" s="158">
        <f>J21*K21</f>
        <v>0</v>
      </c>
    </row>
    <row r="22" spans="2:14" x14ac:dyDescent="0.35">
      <c r="B22" s="135" t="s">
        <v>153</v>
      </c>
      <c r="C22" s="177">
        <v>0</v>
      </c>
      <c r="I22" s="138" t="s">
        <v>154</v>
      </c>
      <c r="J22" s="179">
        <v>0</v>
      </c>
      <c r="K22" s="158">
        <f>ROUND('Revenue Calculator'!F$57*'Revenue Calculator'!C5,2)</f>
        <v>0</v>
      </c>
      <c r="L22" s="158">
        <f t="shared" ref="L22:L24" si="14">J22*K22</f>
        <v>0</v>
      </c>
    </row>
    <row r="23" spans="2:14" x14ac:dyDescent="0.35">
      <c r="B23" s="135" t="s">
        <v>155</v>
      </c>
      <c r="C23" s="177">
        <v>0</v>
      </c>
      <c r="E23" s="237" t="s">
        <v>156</v>
      </c>
      <c r="F23" s="238"/>
      <c r="I23" s="136" t="s">
        <v>157</v>
      </c>
      <c r="J23" s="179">
        <v>0</v>
      </c>
      <c r="K23" s="158">
        <f>ROUND('Revenue Calculator'!F$57*'Revenue Calculator'!C6,2)</f>
        <v>0</v>
      </c>
      <c r="L23" s="158">
        <f t="shared" si="14"/>
        <v>0</v>
      </c>
    </row>
    <row r="24" spans="2:14" x14ac:dyDescent="0.35">
      <c r="B24" s="135" t="s">
        <v>158</v>
      </c>
      <c r="C24" s="177">
        <v>0</v>
      </c>
      <c r="E24" t="s">
        <v>159</v>
      </c>
      <c r="F24" s="139">
        <f>I5+K5</f>
        <v>0</v>
      </c>
      <c r="G24" s="140"/>
      <c r="I24" s="138" t="s">
        <v>160</v>
      </c>
      <c r="J24" s="187">
        <v>0</v>
      </c>
      <c r="K24" s="158">
        <f>ROUND('Revenue Calculator'!F$57*'Revenue Calculator'!C7,2)</f>
        <v>0</v>
      </c>
      <c r="L24" s="158">
        <f t="shared" si="14"/>
        <v>0</v>
      </c>
    </row>
    <row r="25" spans="2:14" x14ac:dyDescent="0.35">
      <c r="B25" s="185" t="s">
        <v>161</v>
      </c>
      <c r="C25" s="177">
        <v>0</v>
      </c>
      <c r="E25" t="s">
        <v>162</v>
      </c>
      <c r="F25" s="141">
        <f>ROUND(F24*G18,0)</f>
        <v>0</v>
      </c>
      <c r="G25" s="142"/>
      <c r="I25" s="186" t="s">
        <v>163</v>
      </c>
      <c r="J25" s="143"/>
      <c r="K25" s="151">
        <f>SUM(K20:K24)</f>
        <v>0</v>
      </c>
      <c r="L25" s="144">
        <f>SUM(L20:L24)</f>
        <v>0</v>
      </c>
    </row>
    <row r="26" spans="2:14" x14ac:dyDescent="0.35">
      <c r="B26" s="135" t="s">
        <v>164</v>
      </c>
      <c r="C26" s="177">
        <v>0</v>
      </c>
      <c r="E26" t="s">
        <v>165</v>
      </c>
      <c r="F26" s="141">
        <f>C37</f>
        <v>0</v>
      </c>
    </row>
    <row r="27" spans="2:14" x14ac:dyDescent="0.35">
      <c r="B27" s="135" t="s">
        <v>166</v>
      </c>
      <c r="C27" s="177">
        <v>0</v>
      </c>
      <c r="E27" t="s">
        <v>167</v>
      </c>
      <c r="F27" s="141">
        <f>C39</f>
        <v>0</v>
      </c>
      <c r="I27" s="145" t="s">
        <v>168</v>
      </c>
      <c r="L27" s="180">
        <v>0</v>
      </c>
    </row>
    <row r="28" spans="2:14" x14ac:dyDescent="0.35">
      <c r="B28" s="148" t="s">
        <v>169</v>
      </c>
      <c r="C28" s="177">
        <v>0</v>
      </c>
      <c r="E28" t="s">
        <v>170</v>
      </c>
      <c r="F28" s="141">
        <f>C40</f>
        <v>0</v>
      </c>
    </row>
    <row r="29" spans="2:14" x14ac:dyDescent="0.35">
      <c r="B29" s="135" t="s">
        <v>171</v>
      </c>
      <c r="C29" s="177">
        <v>0</v>
      </c>
      <c r="E29" t="s">
        <v>172</v>
      </c>
      <c r="F29" s="141">
        <f>ROUND((F24+F25+F26)*G20,0)</f>
        <v>0</v>
      </c>
    </row>
    <row r="30" spans="2:14" ht="15" thickBot="1" x14ac:dyDescent="0.4">
      <c r="B30" s="135" t="s">
        <v>173</v>
      </c>
      <c r="C30" s="177">
        <v>0</v>
      </c>
      <c r="E30" s="146" t="s">
        <v>174</v>
      </c>
      <c r="F30" s="147">
        <f>SUM(F24:F29)</f>
        <v>0</v>
      </c>
    </row>
    <row r="31" spans="2:14" ht="15" thickTop="1" x14ac:dyDescent="0.35">
      <c r="B31" s="135" t="s">
        <v>175</v>
      </c>
      <c r="C31" s="177">
        <v>0</v>
      </c>
    </row>
    <row r="32" spans="2:14" x14ac:dyDescent="0.35">
      <c r="B32" s="135" t="s">
        <v>176</v>
      </c>
      <c r="C32" s="177">
        <v>0</v>
      </c>
      <c r="E32" t="s">
        <v>177</v>
      </c>
      <c r="F32" s="139">
        <f>L25</f>
        <v>0</v>
      </c>
    </row>
    <row r="33" spans="2:6" x14ac:dyDescent="0.35">
      <c r="B33" s="135" t="s">
        <v>178</v>
      </c>
      <c r="C33" s="177"/>
      <c r="E33" t="s">
        <v>168</v>
      </c>
      <c r="F33" s="141">
        <f>L27</f>
        <v>0</v>
      </c>
    </row>
    <row r="34" spans="2:6" ht="15" thickBot="1" x14ac:dyDescent="0.4">
      <c r="B34" s="135" t="s">
        <v>178</v>
      </c>
      <c r="C34" s="177"/>
      <c r="E34" s="146" t="s">
        <v>93</v>
      </c>
      <c r="F34" s="147">
        <f>F32+F33</f>
        <v>0</v>
      </c>
    </row>
    <row r="35" spans="2:6" ht="15" thickTop="1" x14ac:dyDescent="0.35">
      <c r="B35" s="135" t="s">
        <v>178</v>
      </c>
      <c r="C35" s="177"/>
    </row>
    <row r="36" spans="2:6" ht="15" thickBot="1" x14ac:dyDescent="0.4">
      <c r="B36" s="135" t="s">
        <v>178</v>
      </c>
      <c r="C36" s="177"/>
      <c r="E36" s="146" t="s">
        <v>179</v>
      </c>
      <c r="F36" s="147">
        <f>F34-F30</f>
        <v>0</v>
      </c>
    </row>
    <row r="37" spans="2:6" ht="15" thickTop="1" x14ac:dyDescent="0.35">
      <c r="B37" s="145" t="s">
        <v>180</v>
      </c>
      <c r="C37" s="144">
        <f>SUM(C20:C36)</f>
        <v>0</v>
      </c>
    </row>
    <row r="38" spans="2:6" x14ac:dyDescent="0.35">
      <c r="E38" t="s">
        <v>181</v>
      </c>
      <c r="F38" s="149" t="e">
        <f>ROUND(F30/'Revenue Calculator'!F57,2)</f>
        <v>#DIV/0!</v>
      </c>
    </row>
    <row r="39" spans="2:6" x14ac:dyDescent="0.35">
      <c r="B39" s="135" t="s">
        <v>182</v>
      </c>
      <c r="C39" s="177">
        <v>0</v>
      </c>
    </row>
    <row r="40" spans="2:6" x14ac:dyDescent="0.35">
      <c r="B40" s="135" t="s">
        <v>170</v>
      </c>
      <c r="C40" s="177">
        <v>0</v>
      </c>
      <c r="E40" t="s">
        <v>183</v>
      </c>
      <c r="F40" s="149" t="e">
        <f>ROUND(F34/'Revenue Calculator'!F57,2)</f>
        <v>#DIV/0!</v>
      </c>
    </row>
    <row r="42" spans="2:6" x14ac:dyDescent="0.35">
      <c r="E42" t="s">
        <v>184</v>
      </c>
      <c r="F42" s="150" t="e">
        <f>F40-F38</f>
        <v>#DIV/0!</v>
      </c>
    </row>
    <row r="44" spans="2:6" ht="70" customHeight="1" x14ac:dyDescent="0.35"/>
  </sheetData>
  <mergeCells count="7">
    <mergeCell ref="A3:K3"/>
    <mergeCell ref="E20:F20"/>
    <mergeCell ref="E23:F23"/>
    <mergeCell ref="B18:C18"/>
    <mergeCell ref="E18:F18"/>
    <mergeCell ref="I18:L18"/>
    <mergeCell ref="E19:F19"/>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D753-7306-4F39-93EB-A94D979F34A1}">
  <dimension ref="B1:P23"/>
  <sheetViews>
    <sheetView zoomScale="85" zoomScaleNormal="85" workbookViewId="0">
      <selection activeCell="H34" sqref="H34"/>
    </sheetView>
  </sheetViews>
  <sheetFormatPr defaultColWidth="8.81640625" defaultRowHeight="14.5" x14ac:dyDescent="0.35"/>
  <cols>
    <col min="1" max="1" width="3.54296875" customWidth="1"/>
    <col min="2" max="2" width="49.453125" customWidth="1"/>
    <col min="3" max="3" width="10.1796875" customWidth="1"/>
    <col min="4" max="4" width="10.453125" customWidth="1"/>
    <col min="5" max="5" width="8.453125" customWidth="1"/>
    <col min="7" max="7" width="4.54296875" customWidth="1"/>
    <col min="8" max="8" width="18.81640625" customWidth="1"/>
    <col min="9" max="9" width="10.453125" customWidth="1"/>
    <col min="10" max="11" width="10.81640625" customWidth="1"/>
    <col min="13" max="13" width="16.1796875" customWidth="1"/>
  </cols>
  <sheetData>
    <row r="1" spans="2:16" x14ac:dyDescent="0.35">
      <c r="B1" t="s">
        <v>185</v>
      </c>
    </row>
    <row r="3" spans="2:16" x14ac:dyDescent="0.35">
      <c r="B3" t="s">
        <v>186</v>
      </c>
      <c r="C3" s="118">
        <v>37.5</v>
      </c>
      <c r="H3" t="s">
        <v>186</v>
      </c>
      <c r="I3" s="118">
        <v>37.5</v>
      </c>
      <c r="M3" t="s">
        <v>186</v>
      </c>
      <c r="N3" s="118">
        <v>37.5</v>
      </c>
    </row>
    <row r="4" spans="2:16" x14ac:dyDescent="0.35">
      <c r="B4" t="s">
        <v>187</v>
      </c>
      <c r="C4" s="165">
        <v>1</v>
      </c>
      <c r="H4" t="s">
        <v>187</v>
      </c>
      <c r="I4" s="165">
        <v>1</v>
      </c>
      <c r="M4" t="s">
        <v>187</v>
      </c>
      <c r="N4" s="165">
        <v>1</v>
      </c>
    </row>
    <row r="6" spans="2:16" x14ac:dyDescent="0.35">
      <c r="C6" s="166" t="s">
        <v>188</v>
      </c>
      <c r="D6" s="166" t="s">
        <v>189</v>
      </c>
      <c r="I6" s="166" t="s">
        <v>188</v>
      </c>
      <c r="J6" s="166" t="s">
        <v>189</v>
      </c>
      <c r="N6" s="166" t="s">
        <v>188</v>
      </c>
      <c r="O6" s="166" t="s">
        <v>189</v>
      </c>
    </row>
    <row r="7" spans="2:16" x14ac:dyDescent="0.35">
      <c r="B7" t="s">
        <v>190</v>
      </c>
      <c r="C7" s="167">
        <f>ROUND(260*C4,0)</f>
        <v>260</v>
      </c>
      <c r="D7" s="167">
        <f>C3*52*C4</f>
        <v>1950</v>
      </c>
      <c r="H7" t="s">
        <v>190</v>
      </c>
      <c r="I7" s="167">
        <f>ROUND(260*I4,0)</f>
        <v>260</v>
      </c>
      <c r="J7" s="167">
        <f>I3*52*I4</f>
        <v>1950</v>
      </c>
      <c r="M7" t="s">
        <v>190</v>
      </c>
      <c r="N7" s="167">
        <f>ROUND(260*N4,0)</f>
        <v>260</v>
      </c>
      <c r="O7" s="167">
        <f>N3*52*N4</f>
        <v>1950</v>
      </c>
    </row>
    <row r="8" spans="2:16" x14ac:dyDescent="0.35">
      <c r="B8" t="s">
        <v>191</v>
      </c>
      <c r="C8" s="168">
        <v>0</v>
      </c>
      <c r="D8" s="169">
        <f>((C8*C$4*(C$3/5))*-1)</f>
        <v>0</v>
      </c>
      <c r="H8" t="s">
        <v>191</v>
      </c>
      <c r="I8" s="168">
        <v>0</v>
      </c>
      <c r="J8" s="169">
        <f>((I8*I$4*(I$3/5))*-1)</f>
        <v>0</v>
      </c>
      <c r="M8" t="s">
        <v>191</v>
      </c>
      <c r="N8" s="168">
        <v>14</v>
      </c>
      <c r="O8" s="169">
        <f>((N8*N$4*(N$3/5))*-1)</f>
        <v>-105</v>
      </c>
    </row>
    <row r="9" spans="2:16" x14ac:dyDescent="0.35">
      <c r="B9" t="s">
        <v>192</v>
      </c>
      <c r="C9" s="168">
        <v>0</v>
      </c>
      <c r="D9" s="169">
        <f t="shared" ref="D9:D12" si="0">((C9*C$4*(C$3/5))*-1)</f>
        <v>0</v>
      </c>
      <c r="H9" t="s">
        <v>192</v>
      </c>
      <c r="I9" s="168">
        <v>0</v>
      </c>
      <c r="J9" s="169">
        <f t="shared" ref="J9:J12" si="1">((I9*I$4*(I$3/5))*-1)</f>
        <v>0</v>
      </c>
      <c r="M9" t="s">
        <v>192</v>
      </c>
      <c r="N9" s="168">
        <v>0</v>
      </c>
      <c r="O9" s="169">
        <f t="shared" ref="O9:O12" si="2">((N9*N$4*(N$3/5))*-1)</f>
        <v>0</v>
      </c>
    </row>
    <row r="10" spans="2:16" x14ac:dyDescent="0.35">
      <c r="B10" t="s">
        <v>193</v>
      </c>
      <c r="C10" s="118">
        <v>0</v>
      </c>
      <c r="D10" s="169">
        <f t="shared" si="0"/>
        <v>0</v>
      </c>
      <c r="H10" t="s">
        <v>193</v>
      </c>
      <c r="I10" s="118">
        <v>0</v>
      </c>
      <c r="J10" s="169">
        <f t="shared" si="1"/>
        <v>0</v>
      </c>
      <c r="M10" t="s">
        <v>193</v>
      </c>
      <c r="N10" s="118">
        <v>20</v>
      </c>
      <c r="O10" s="169">
        <f t="shared" si="2"/>
        <v>-150</v>
      </c>
    </row>
    <row r="11" spans="2:16" x14ac:dyDescent="0.35">
      <c r="B11" t="s">
        <v>194</v>
      </c>
      <c r="C11" s="118">
        <v>0</v>
      </c>
      <c r="D11" s="169">
        <f t="shared" si="0"/>
        <v>0</v>
      </c>
      <c r="H11" t="s">
        <v>194</v>
      </c>
      <c r="I11" s="118">
        <v>0</v>
      </c>
      <c r="J11" s="169">
        <f t="shared" si="1"/>
        <v>0</v>
      </c>
      <c r="M11" t="s">
        <v>194</v>
      </c>
      <c r="N11" s="118">
        <v>2</v>
      </c>
      <c r="O11" s="169">
        <f t="shared" si="2"/>
        <v>-15</v>
      </c>
    </row>
    <row r="12" spans="2:16" x14ac:dyDescent="0.35">
      <c r="B12" t="s">
        <v>195</v>
      </c>
      <c r="C12" s="118">
        <v>0</v>
      </c>
      <c r="D12" s="169">
        <f t="shared" si="0"/>
        <v>0</v>
      </c>
      <c r="E12" s="166" t="s">
        <v>6</v>
      </c>
      <c r="H12" t="s">
        <v>195</v>
      </c>
      <c r="I12" s="118">
        <v>0</v>
      </c>
      <c r="J12" s="169">
        <f t="shared" si="1"/>
        <v>0</v>
      </c>
      <c r="K12" s="166" t="s">
        <v>6</v>
      </c>
      <c r="M12" t="s">
        <v>195</v>
      </c>
      <c r="N12" s="118">
        <v>5</v>
      </c>
      <c r="O12" s="169">
        <f t="shared" si="2"/>
        <v>-37.5</v>
      </c>
    </row>
    <row r="13" spans="2:16" ht="15" thickBot="1" x14ac:dyDescent="0.4">
      <c r="B13" t="s">
        <v>196</v>
      </c>
      <c r="C13" s="170">
        <f>C7-C8-C9-C10-C12</f>
        <v>260</v>
      </c>
      <c r="D13" s="171">
        <f>SUM(D7:D12)</f>
        <v>1950</v>
      </c>
      <c r="E13" s="175">
        <f>C13/C7</f>
        <v>1</v>
      </c>
      <c r="H13" t="s">
        <v>196</v>
      </c>
      <c r="I13" s="170">
        <f>I7-I8-I9-I10-I12</f>
        <v>260</v>
      </c>
      <c r="J13" s="171">
        <f>SUM(J7:J12)</f>
        <v>1950</v>
      </c>
      <c r="K13" s="175">
        <f>I13/I7</f>
        <v>1</v>
      </c>
      <c r="M13" t="s">
        <v>196</v>
      </c>
      <c r="N13" s="170">
        <f>N7-N8-N9-N10-N12</f>
        <v>221</v>
      </c>
      <c r="O13" s="171">
        <f>SUM(O7:O12)</f>
        <v>1642.5</v>
      </c>
      <c r="P13" s="175">
        <f>N13/N7</f>
        <v>0.85</v>
      </c>
    </row>
    <row r="15" spans="2:16" x14ac:dyDescent="0.35">
      <c r="B15" t="s">
        <v>197</v>
      </c>
      <c r="D15" s="172">
        <v>0</v>
      </c>
      <c r="H15" t="s">
        <v>197</v>
      </c>
      <c r="J15" s="172">
        <v>0</v>
      </c>
      <c r="M15" t="s">
        <v>197</v>
      </c>
      <c r="O15" s="172">
        <v>0</v>
      </c>
    </row>
    <row r="17" spans="2:15" x14ac:dyDescent="0.35">
      <c r="B17" s="1" t="s">
        <v>198</v>
      </c>
      <c r="D17" s="173">
        <f>ROUND(D15*C13,0)</f>
        <v>0</v>
      </c>
      <c r="H17" s="1" t="s">
        <v>198</v>
      </c>
      <c r="J17" s="173">
        <f>ROUND(J15*I13,0)</f>
        <v>0</v>
      </c>
      <c r="M17" s="1" t="s">
        <v>198</v>
      </c>
      <c r="O17" s="173">
        <f>ROUND(O15*N13,0)</f>
        <v>0</v>
      </c>
    </row>
    <row r="19" spans="2:15" x14ac:dyDescent="0.35">
      <c r="B19" t="s">
        <v>199</v>
      </c>
      <c r="D19" s="174">
        <v>0</v>
      </c>
      <c r="H19" t="s">
        <v>199</v>
      </c>
      <c r="J19" s="174">
        <v>0</v>
      </c>
      <c r="M19" t="s">
        <v>199</v>
      </c>
      <c r="O19" s="174">
        <v>0</v>
      </c>
    </row>
    <row r="21" spans="2:15" x14ac:dyDescent="0.35">
      <c r="B21" t="s">
        <v>200</v>
      </c>
      <c r="D21" s="176">
        <f>(D15*D19)+D15</f>
        <v>0</v>
      </c>
      <c r="H21" t="s">
        <v>200</v>
      </c>
      <c r="J21" s="176">
        <f>(J15*J19)+J15</f>
        <v>0</v>
      </c>
      <c r="M21" t="s">
        <v>200</v>
      </c>
      <c r="O21" s="176">
        <f>(O15*O19)+O15</f>
        <v>0</v>
      </c>
    </row>
    <row r="23" spans="2:15" ht="81" customHeight="1"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Units by %</vt:lpstr>
      <vt:lpstr>Revenue Calculator</vt:lpstr>
      <vt:lpstr>Expense Calculator and Summary</vt:lpstr>
      <vt:lpstr>Available to work calculator</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4-12-23</dc:title>
  <dc:subject/>
  <dc:creator>glenn</dc:creator>
  <cp:keywords/>
  <dc:description/>
  <cp:lastModifiedBy>Foisy, Alixandra (OMH)</cp:lastModifiedBy>
  <cp:revision/>
  <dcterms:created xsi:type="dcterms:W3CDTF">2009-11-10T16:44:42Z</dcterms:created>
  <dcterms:modified xsi:type="dcterms:W3CDTF">2024-08-09T16:20:32Z</dcterms:modified>
  <cp:category/>
  <cp:contentStatus/>
</cp:coreProperties>
</file>